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860" yWindow="320" windowWidth="34120" windowHeight="28280" tabRatio="500"/>
  </bookViews>
  <sheets>
    <sheet name="Diet plan" sheetId="9" r:id="rId1"/>
    <sheet name="Progress" sheetId="4" r:id="rId2"/>
    <sheet name="Food costs" sheetId="3" r:id="rId3"/>
    <sheet name="Workout" sheetId="6" r:id="rId4"/>
    <sheet name="Random data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9" l="1"/>
  <c r="P58" i="9"/>
  <c r="O58" i="9"/>
  <c r="N58" i="9"/>
  <c r="M58" i="9"/>
  <c r="L58" i="9"/>
  <c r="AB10" i="9"/>
  <c r="AB9" i="9"/>
  <c r="AC10" i="9"/>
  <c r="AB8" i="9"/>
  <c r="AC9" i="9"/>
  <c r="AB7" i="9"/>
  <c r="AC8" i="9"/>
  <c r="AB6" i="9"/>
  <c r="AC7" i="9"/>
  <c r="AB5" i="9"/>
  <c r="AC6" i="9"/>
  <c r="AB4" i="9"/>
  <c r="AC5" i="9"/>
  <c r="AB3" i="9"/>
  <c r="AC4" i="9"/>
  <c r="AD3" i="9"/>
  <c r="AD4" i="9"/>
  <c r="AD5" i="9"/>
  <c r="AD6" i="9"/>
  <c r="AD7" i="9"/>
  <c r="AD8" i="9"/>
  <c r="AD9" i="9"/>
  <c r="AD10" i="9"/>
  <c r="P14" i="9"/>
  <c r="O14" i="9"/>
  <c r="N14" i="9"/>
  <c r="M14" i="9"/>
  <c r="L14" i="9"/>
  <c r="H13" i="9"/>
  <c r="P38" i="9"/>
  <c r="O38" i="9"/>
  <c r="N38" i="9"/>
  <c r="M38" i="9"/>
  <c r="L38" i="9"/>
  <c r="H22" i="9"/>
  <c r="H5" i="9"/>
  <c r="H8" i="9"/>
  <c r="D23" i="9"/>
  <c r="L4" i="9"/>
  <c r="E23" i="9"/>
  <c r="M4" i="9"/>
  <c r="F23" i="9"/>
  <c r="N4" i="9"/>
  <c r="G23" i="9"/>
  <c r="O4" i="9"/>
  <c r="H23" i="9"/>
  <c r="P4" i="9"/>
  <c r="H66" i="9"/>
  <c r="H65" i="9"/>
  <c r="N57" i="9"/>
  <c r="N59" i="9"/>
  <c r="N60" i="9"/>
  <c r="N61" i="9"/>
  <c r="N62" i="9"/>
  <c r="Y4" i="9"/>
  <c r="D33" i="9"/>
  <c r="L57" i="9"/>
  <c r="L59" i="9"/>
  <c r="L60" i="9"/>
  <c r="L61" i="9"/>
  <c r="L62" i="9"/>
  <c r="Y2" i="9"/>
  <c r="M57" i="9"/>
  <c r="M59" i="9"/>
  <c r="M60" i="9"/>
  <c r="M61" i="9"/>
  <c r="M62" i="9"/>
  <c r="Y3" i="9"/>
  <c r="N63" i="9"/>
  <c r="M63" i="9"/>
  <c r="L63" i="9"/>
  <c r="H64" i="9"/>
  <c r="H33" i="9"/>
  <c r="P57" i="9"/>
  <c r="H62" i="9"/>
  <c r="P59" i="9"/>
  <c r="H34" i="9"/>
  <c r="P60" i="9"/>
  <c r="P61" i="9"/>
  <c r="P62" i="9"/>
  <c r="G33" i="9"/>
  <c r="O57" i="9"/>
  <c r="O59" i="9"/>
  <c r="O60" i="9"/>
  <c r="O61" i="9"/>
  <c r="O62" i="9"/>
  <c r="H63" i="9"/>
  <c r="H61" i="9"/>
  <c r="H59" i="9"/>
  <c r="G59" i="9"/>
  <c r="F59" i="9"/>
  <c r="E59" i="9"/>
  <c r="D59" i="9"/>
  <c r="H57" i="9"/>
  <c r="G57" i="9"/>
  <c r="F57" i="9"/>
  <c r="D57" i="9"/>
  <c r="F22" i="9"/>
  <c r="N50" i="9"/>
  <c r="N51" i="9"/>
  <c r="N52" i="9"/>
  <c r="N53" i="9"/>
  <c r="D22" i="9"/>
  <c r="L50" i="9"/>
  <c r="L51" i="9"/>
  <c r="L52" i="9"/>
  <c r="L53" i="9"/>
  <c r="M50" i="9"/>
  <c r="M51" i="9"/>
  <c r="M52" i="9"/>
  <c r="M53" i="9"/>
  <c r="N54" i="9"/>
  <c r="M54" i="9"/>
  <c r="L54" i="9"/>
  <c r="G56" i="9"/>
  <c r="F56" i="9"/>
  <c r="D56" i="9"/>
  <c r="H50" i="9"/>
  <c r="P50" i="9"/>
  <c r="P51" i="9"/>
  <c r="P52" i="9"/>
  <c r="P53" i="9"/>
  <c r="O50" i="9"/>
  <c r="O51" i="9"/>
  <c r="O52" i="9"/>
  <c r="O53" i="9"/>
  <c r="H55" i="9"/>
  <c r="H52" i="9"/>
  <c r="H51" i="9"/>
  <c r="N43" i="9"/>
  <c r="N44" i="9"/>
  <c r="N45" i="9"/>
  <c r="N46" i="9"/>
  <c r="L43" i="9"/>
  <c r="L44" i="9"/>
  <c r="L45" i="9"/>
  <c r="L46" i="9"/>
  <c r="M43" i="9"/>
  <c r="M44" i="9"/>
  <c r="M45" i="9"/>
  <c r="M46" i="9"/>
  <c r="N47" i="9"/>
  <c r="M47" i="9"/>
  <c r="L47" i="9"/>
  <c r="P43" i="9"/>
  <c r="P44" i="9"/>
  <c r="P45" i="9"/>
  <c r="P46" i="9"/>
  <c r="O43" i="9"/>
  <c r="O44" i="9"/>
  <c r="O45" i="9"/>
  <c r="O46" i="9"/>
  <c r="H48" i="9"/>
  <c r="G48" i="9"/>
  <c r="F48" i="9"/>
  <c r="E48" i="9"/>
  <c r="D48" i="9"/>
  <c r="H46" i="9"/>
  <c r="H45" i="9"/>
  <c r="H44" i="9"/>
  <c r="H43" i="9"/>
  <c r="H42" i="9"/>
  <c r="G42" i="9"/>
  <c r="F42" i="9"/>
  <c r="E42" i="9"/>
  <c r="N36" i="9"/>
  <c r="N37" i="9"/>
  <c r="N39" i="9"/>
  <c r="L36" i="9"/>
  <c r="L37" i="9"/>
  <c r="L39" i="9"/>
  <c r="M36" i="9"/>
  <c r="M37" i="9"/>
  <c r="M39" i="9"/>
  <c r="N40" i="9"/>
  <c r="M40" i="9"/>
  <c r="L40" i="9"/>
  <c r="H41" i="9"/>
  <c r="G41" i="9"/>
  <c r="F41" i="9"/>
  <c r="E41" i="9"/>
  <c r="D41" i="9"/>
  <c r="P36" i="9"/>
  <c r="P37" i="9"/>
  <c r="P39" i="9"/>
  <c r="O36" i="9"/>
  <c r="O37" i="9"/>
  <c r="O39" i="9"/>
  <c r="H39" i="9"/>
  <c r="H38" i="9"/>
  <c r="G38" i="9"/>
  <c r="E38" i="9"/>
  <c r="H36" i="9"/>
  <c r="H35" i="9"/>
  <c r="F6" i="9"/>
  <c r="N27" i="9"/>
  <c r="N28" i="9"/>
  <c r="N29" i="9"/>
  <c r="N30" i="9"/>
  <c r="N31" i="9"/>
  <c r="N32" i="9"/>
  <c r="L27" i="9"/>
  <c r="L28" i="9"/>
  <c r="L29" i="9"/>
  <c r="L30" i="9"/>
  <c r="L31" i="9"/>
  <c r="L32" i="9"/>
  <c r="E6" i="9"/>
  <c r="M27" i="9"/>
  <c r="M28" i="9"/>
  <c r="M29" i="9"/>
  <c r="M30" i="9"/>
  <c r="M31" i="9"/>
  <c r="M32" i="9"/>
  <c r="N33" i="9"/>
  <c r="M33" i="9"/>
  <c r="L33" i="9"/>
  <c r="H6" i="9"/>
  <c r="P27" i="9"/>
  <c r="P28" i="9"/>
  <c r="P29" i="9"/>
  <c r="H25" i="9"/>
  <c r="P30" i="9"/>
  <c r="P31" i="9"/>
  <c r="P32" i="9"/>
  <c r="G6" i="9"/>
  <c r="O27" i="9"/>
  <c r="O28" i="9"/>
  <c r="O29" i="9"/>
  <c r="O30" i="9"/>
  <c r="O31" i="9"/>
  <c r="O32" i="9"/>
  <c r="G32" i="9"/>
  <c r="F32" i="9"/>
  <c r="D32" i="9"/>
  <c r="H31" i="9"/>
  <c r="H30" i="9"/>
  <c r="Y22" i="9"/>
  <c r="Y23" i="9"/>
  <c r="Y24" i="9"/>
  <c r="Y25" i="9"/>
  <c r="Y26" i="9"/>
  <c r="Y27" i="9"/>
  <c r="Y28" i="9"/>
  <c r="Y29" i="9"/>
  <c r="X22" i="9"/>
  <c r="G8" i="9"/>
  <c r="X23" i="9"/>
  <c r="X24" i="9"/>
  <c r="X25" i="9"/>
  <c r="X26" i="9"/>
  <c r="X27" i="9"/>
  <c r="X28" i="9"/>
  <c r="X29" i="9"/>
  <c r="W22" i="9"/>
  <c r="F8" i="9"/>
  <c r="W23" i="9"/>
  <c r="W24" i="9"/>
  <c r="W25" i="9"/>
  <c r="W26" i="9"/>
  <c r="W27" i="9"/>
  <c r="W28" i="9"/>
  <c r="W29" i="9"/>
  <c r="V22" i="9"/>
  <c r="V23" i="9"/>
  <c r="V24" i="9"/>
  <c r="V25" i="9"/>
  <c r="V26" i="9"/>
  <c r="V27" i="9"/>
  <c r="V28" i="9"/>
  <c r="V29" i="9"/>
  <c r="U22" i="9"/>
  <c r="U23" i="9"/>
  <c r="U24" i="9"/>
  <c r="U25" i="9"/>
  <c r="U26" i="9"/>
  <c r="U27" i="9"/>
  <c r="U28" i="9"/>
  <c r="U29" i="9"/>
  <c r="H29" i="9"/>
  <c r="H28" i="9"/>
  <c r="H27" i="9"/>
  <c r="P20" i="9"/>
  <c r="P21" i="9"/>
  <c r="H16" i="9"/>
  <c r="P22" i="9"/>
  <c r="P23" i="9"/>
  <c r="P24" i="9"/>
  <c r="O20" i="9"/>
  <c r="O21" i="9"/>
  <c r="O22" i="9"/>
  <c r="O23" i="9"/>
  <c r="O24" i="9"/>
  <c r="N20" i="9"/>
  <c r="N21" i="9"/>
  <c r="N22" i="9"/>
  <c r="N23" i="9"/>
  <c r="N24" i="9"/>
  <c r="M20" i="9"/>
  <c r="M21" i="9"/>
  <c r="M22" i="9"/>
  <c r="M23" i="9"/>
  <c r="M24" i="9"/>
  <c r="L20" i="9"/>
  <c r="L21" i="9"/>
  <c r="L22" i="9"/>
  <c r="L23" i="9"/>
  <c r="L24" i="9"/>
  <c r="H24" i="9"/>
  <c r="G24" i="9"/>
  <c r="F24" i="9"/>
  <c r="E24" i="9"/>
  <c r="D24" i="9"/>
  <c r="H21" i="9"/>
  <c r="H20" i="9"/>
  <c r="Y19" i="9"/>
  <c r="Y16" i="9"/>
  <c r="Y18" i="9"/>
  <c r="Y17" i="9"/>
  <c r="N13" i="9"/>
  <c r="N15" i="9"/>
  <c r="N16" i="9"/>
  <c r="L13" i="9"/>
  <c r="L15" i="9"/>
  <c r="L16" i="9"/>
  <c r="M13" i="9"/>
  <c r="M15" i="9"/>
  <c r="M16" i="9"/>
  <c r="N17" i="9"/>
  <c r="M17" i="9"/>
  <c r="L17" i="9"/>
  <c r="H17" i="9"/>
  <c r="P13" i="9"/>
  <c r="P15" i="9"/>
  <c r="P16" i="9"/>
  <c r="O13" i="9"/>
  <c r="O15" i="9"/>
  <c r="O16" i="9"/>
  <c r="H15" i="9"/>
  <c r="P2" i="9"/>
  <c r="P3" i="9"/>
  <c r="H11" i="9"/>
  <c r="P5" i="9"/>
  <c r="P6" i="9"/>
  <c r="H2" i="9"/>
  <c r="P7" i="9"/>
  <c r="P8" i="9"/>
  <c r="P9" i="9"/>
  <c r="Y8" i="9"/>
  <c r="Y9" i="9"/>
  <c r="Y12" i="9"/>
  <c r="H12" i="9"/>
  <c r="Y11" i="9"/>
  <c r="G11" i="9"/>
  <c r="E11" i="9"/>
  <c r="AH10" i="9"/>
  <c r="AH9" i="9"/>
  <c r="AH8" i="9"/>
  <c r="AH7" i="9"/>
  <c r="AH6" i="9"/>
  <c r="AH5" i="9"/>
  <c r="AH4" i="9"/>
  <c r="O2" i="9"/>
  <c r="O3" i="9"/>
  <c r="O5" i="9"/>
  <c r="O6" i="9"/>
  <c r="G2" i="9"/>
  <c r="O7" i="9"/>
  <c r="O8" i="9"/>
  <c r="O9" i="9"/>
  <c r="AH3" i="9"/>
  <c r="AP3" i="9"/>
  <c r="AP4" i="9"/>
  <c r="AP5" i="9"/>
  <c r="AP6" i="9"/>
  <c r="AP7" i="9"/>
  <c r="AP8" i="9"/>
  <c r="AP9" i="9"/>
  <c r="AP10" i="9"/>
  <c r="AG10" i="9"/>
  <c r="AG9" i="9"/>
  <c r="AG8" i="9"/>
  <c r="AG7" i="9"/>
  <c r="AG6" i="9"/>
  <c r="AG5" i="9"/>
  <c r="AG4" i="9"/>
  <c r="N2" i="9"/>
  <c r="N3" i="9"/>
  <c r="N5" i="9"/>
  <c r="N6" i="9"/>
  <c r="F2" i="9"/>
  <c r="N7" i="9"/>
  <c r="N8" i="9"/>
  <c r="N9" i="9"/>
  <c r="AG3" i="9"/>
  <c r="AO3" i="9"/>
  <c r="AO4" i="9"/>
  <c r="AO5" i="9"/>
  <c r="AO6" i="9"/>
  <c r="AO7" i="9"/>
  <c r="AO8" i="9"/>
  <c r="AO9" i="9"/>
  <c r="AO10" i="9"/>
  <c r="AF10" i="9"/>
  <c r="AF9" i="9"/>
  <c r="AF8" i="9"/>
  <c r="AF7" i="9"/>
  <c r="AF6" i="9"/>
  <c r="AF5" i="9"/>
  <c r="AF4" i="9"/>
  <c r="M2" i="9"/>
  <c r="M3" i="9"/>
  <c r="M5" i="9"/>
  <c r="M6" i="9"/>
  <c r="E2" i="9"/>
  <c r="M7" i="9"/>
  <c r="M8" i="9"/>
  <c r="M9" i="9"/>
  <c r="AF3" i="9"/>
  <c r="AN3" i="9"/>
  <c r="AN4" i="9"/>
  <c r="AN5" i="9"/>
  <c r="AN6" i="9"/>
  <c r="AN7" i="9"/>
  <c r="AN8" i="9"/>
  <c r="AN9" i="9"/>
  <c r="AN10" i="9"/>
  <c r="AE10" i="9"/>
  <c r="AE9" i="9"/>
  <c r="AE8" i="9"/>
  <c r="AE7" i="9"/>
  <c r="AE6" i="9"/>
  <c r="AE5" i="9"/>
  <c r="AE4" i="9"/>
  <c r="L2" i="9"/>
  <c r="L3" i="9"/>
  <c r="L5" i="9"/>
  <c r="L6" i="9"/>
  <c r="D2" i="9"/>
  <c r="L7" i="9"/>
  <c r="L8" i="9"/>
  <c r="L9" i="9"/>
  <c r="AE3" i="9"/>
  <c r="AM3" i="9"/>
  <c r="AM4" i="9"/>
  <c r="AM5" i="9"/>
  <c r="AM6" i="9"/>
  <c r="AM7" i="9"/>
  <c r="AM8" i="9"/>
  <c r="AM9" i="9"/>
  <c r="AM10" i="9"/>
  <c r="AL10" i="9"/>
  <c r="AK10" i="9"/>
  <c r="AJ10" i="9"/>
  <c r="AI10" i="9"/>
  <c r="Y10" i="9"/>
  <c r="N10" i="9"/>
  <c r="M10" i="9"/>
  <c r="L10" i="9"/>
  <c r="AL9" i="9"/>
  <c r="AK9" i="9"/>
  <c r="AJ9" i="9"/>
  <c r="AI9" i="9"/>
  <c r="H9" i="9"/>
  <c r="AL8" i="9"/>
  <c r="AK8" i="9"/>
  <c r="AJ8" i="9"/>
  <c r="AI8" i="9"/>
  <c r="AL7" i="9"/>
  <c r="AK7" i="9"/>
  <c r="AJ7" i="9"/>
  <c r="AI7" i="9"/>
  <c r="H7" i="9"/>
  <c r="AL6" i="9"/>
  <c r="AK6" i="9"/>
  <c r="AJ6" i="9"/>
  <c r="AI6" i="9"/>
  <c r="AL5" i="9"/>
  <c r="AK5" i="9"/>
  <c r="AJ5" i="9"/>
  <c r="AI5" i="9"/>
  <c r="Y5" i="9"/>
  <c r="T2" i="9"/>
  <c r="U2" i="9"/>
  <c r="T3" i="9"/>
  <c r="U3" i="9"/>
  <c r="T4" i="9"/>
  <c r="U4" i="9"/>
  <c r="U5" i="9"/>
  <c r="T5" i="9"/>
  <c r="AL4" i="9"/>
  <c r="AK4" i="9"/>
  <c r="AJ4" i="9"/>
  <c r="AI4" i="9"/>
  <c r="V4" i="9"/>
  <c r="V3" i="9"/>
  <c r="H3" i="9"/>
  <c r="V2" i="9"/>
  <c r="M18" i="5"/>
  <c r="J19" i="5"/>
  <c r="D4" i="3"/>
  <c r="K4" i="3"/>
  <c r="D5" i="3"/>
  <c r="K5" i="3"/>
  <c r="D6" i="3"/>
  <c r="K6" i="3"/>
  <c r="K7" i="3"/>
  <c r="C7" i="3"/>
  <c r="L7" i="3"/>
  <c r="L5" i="3"/>
  <c r="L6" i="3"/>
  <c r="L4" i="3"/>
  <c r="G7" i="3"/>
  <c r="E7" i="3"/>
  <c r="J7" i="3"/>
  <c r="F7" i="3"/>
  <c r="I7" i="3"/>
  <c r="B7" i="3"/>
  <c r="H7" i="3"/>
  <c r="D7" i="3"/>
  <c r="J5" i="3"/>
  <c r="J6" i="3"/>
  <c r="J4" i="3"/>
  <c r="H5" i="3"/>
  <c r="H6" i="3"/>
  <c r="H4" i="3"/>
  <c r="I5" i="3"/>
  <c r="I6" i="3"/>
  <c r="I4" i="3"/>
</calcChain>
</file>

<file path=xl/sharedStrings.xml><?xml version="1.0" encoding="utf-8"?>
<sst xmlns="http://schemas.openxmlformats.org/spreadsheetml/2006/main" count="505" uniqueCount="276">
  <si>
    <t>Description</t>
  </si>
  <si>
    <t>Fat (g)</t>
  </si>
  <si>
    <t>Protein (g)</t>
  </si>
  <si>
    <t>Carbs (g)</t>
  </si>
  <si>
    <t>Calories</t>
  </si>
  <si>
    <t>cooked</t>
  </si>
  <si>
    <t>Meal 1</t>
  </si>
  <si>
    <t>yogurt</t>
  </si>
  <si>
    <t>raw</t>
  </si>
  <si>
    <t>Meal 2</t>
  </si>
  <si>
    <t>turkey</t>
  </si>
  <si>
    <t>boiled</t>
  </si>
  <si>
    <t>broccoli</t>
  </si>
  <si>
    <t>Meal 3</t>
  </si>
  <si>
    <t>med grain cooked</t>
  </si>
  <si>
    <t>Chobani Vanilla Greek Yogurt non-fat</t>
  </si>
  <si>
    <t>Meal 4</t>
  </si>
  <si>
    <t>baked</t>
  </si>
  <si>
    <t>Meal 5</t>
  </si>
  <si>
    <t>Meal 6</t>
  </si>
  <si>
    <t>oats dry</t>
  </si>
  <si>
    <t>asparagus</t>
  </si>
  <si>
    <t>oatmeal</t>
  </si>
  <si>
    <t>egg white</t>
  </si>
  <si>
    <t>tilapia</t>
  </si>
  <si>
    <t>brown rice</t>
  </si>
  <si>
    <t>almonds</t>
  </si>
  <si>
    <t>SizeOn</t>
  </si>
  <si>
    <t>Cell-Tech</t>
  </si>
  <si>
    <t>avocado</t>
  </si>
  <si>
    <t>Unit</t>
  </si>
  <si>
    <t>1 oz</t>
  </si>
  <si>
    <t>1 scoop</t>
  </si>
  <si>
    <t>Totals</t>
  </si>
  <si>
    <t>Ingredient</t>
  </si>
  <si>
    <t>banana</t>
  </si>
  <si>
    <t>Fat</t>
  </si>
  <si>
    <t>Carb</t>
  </si>
  <si>
    <t>Protein</t>
  </si>
  <si>
    <t>Ethanol</t>
  </si>
  <si>
    <t>% total</t>
  </si>
  <si>
    <t>apple</t>
  </si>
  <si>
    <t>fuji apple</t>
  </si>
  <si>
    <t>sweet potato</t>
  </si>
  <si>
    <t>brussels sprouts</t>
  </si>
  <si>
    <t>boiled, drained</t>
  </si>
  <si>
    <t>zucchini</t>
  </si>
  <si>
    <t>cauliflower</t>
  </si>
  <si>
    <t>green bean</t>
  </si>
  <si>
    <t>snap or string</t>
  </si>
  <si>
    <t>almond butter</t>
  </si>
  <si>
    <t>MaraNatha brand, all natural, no stir, creamy</t>
  </si>
  <si>
    <t>carrots</t>
  </si>
  <si>
    <t>baby, raw</t>
  </si>
  <si>
    <t>celery</t>
  </si>
  <si>
    <t>raw, edible portion</t>
  </si>
  <si>
    <t>cottage cheese</t>
  </si>
  <si>
    <t>1 g</t>
  </si>
  <si>
    <t>cinnamon</t>
  </si>
  <si>
    <t>ezekial bread</t>
  </si>
  <si>
    <t>Trader Joe's Daily Bread, Sprouted Wheat Berry &amp; Seasame Seeds</t>
  </si>
  <si>
    <t>cucumber</t>
  </si>
  <si>
    <t>raw with peel</t>
  </si>
  <si>
    <t>eggplant</t>
  </si>
  <si>
    <t>portobello</t>
  </si>
  <si>
    <t>grilled</t>
  </si>
  <si>
    <t>tomato</t>
  </si>
  <si>
    <t>lettuce</t>
  </si>
  <si>
    <t>romaine, raw</t>
  </si>
  <si>
    <t>egg</t>
  </si>
  <si>
    <t>whole, large</t>
  </si>
  <si>
    <t>1 egg</t>
  </si>
  <si>
    <t>large egg white</t>
  </si>
  <si>
    <t>egg yolk</t>
  </si>
  <si>
    <t>large egg yolk</t>
  </si>
  <si>
    <t>turkey burger</t>
  </si>
  <si>
    <t>pattie, 24 oz zucchini, 40 oz 99% lean turkey</t>
  </si>
  <si>
    <t>QTY</t>
  </si>
  <si>
    <t>1 slice</t>
  </si>
  <si>
    <t>whey protein</t>
  </si>
  <si>
    <t>Optimum Nutrition Gold Standard 100% Whey</t>
  </si>
  <si>
    <t>Gaspari Nutrition SizeOn Maximum Performance</t>
  </si>
  <si>
    <t>MuscleTech Cell-Tech Hardcore Pro Series</t>
  </si>
  <si>
    <t>Optimum Nutrition Gold Standard Casein Protein</t>
  </si>
  <si>
    <t>casein protein</t>
  </si>
  <si>
    <t>flaxseed oil</t>
  </si>
  <si>
    <t>WORKOUT</t>
  </si>
  <si>
    <t>green tea</t>
  </si>
  <si>
    <t>multivitamin</t>
  </si>
  <si>
    <t>C4 Extreme</t>
  </si>
  <si>
    <t>saigon cinnamon, powder</t>
  </si>
  <si>
    <t>All Whites 100% Liquid Egg Whites</t>
  </si>
  <si>
    <t>liquid egg whites</t>
  </si>
  <si>
    <t>chicken</t>
  </si>
  <si>
    <t>bok choy</t>
  </si>
  <si>
    <t>Meal 7</t>
  </si>
  <si>
    <t>SANDBOX</t>
  </si>
  <si>
    <t>milk</t>
  </si>
  <si>
    <t>fat free milk</t>
  </si>
  <si>
    <t>blueberries</t>
  </si>
  <si>
    <t>frozen, safeway brand</t>
  </si>
  <si>
    <t>sweet onions, raw</t>
  </si>
  <si>
    <t>onion</t>
  </si>
  <si>
    <t>99% fat free ground turkey</t>
  </si>
  <si>
    <t>99% fat free, foster farms</t>
  </si>
  <si>
    <t>salmon</t>
  </si>
  <si>
    <t>atlantic salmon, cooked, dry heat</t>
  </si>
  <si>
    <t>top sirloin</t>
  </si>
  <si>
    <t>beef loin top sirloin</t>
  </si>
  <si>
    <t>filet mignon</t>
  </si>
  <si>
    <t>beef</t>
  </si>
  <si>
    <t>green pepper</t>
  </si>
  <si>
    <t>taro</t>
  </si>
  <si>
    <t>napa cabbage</t>
  </si>
  <si>
    <t>white mushroom</t>
  </si>
  <si>
    <t>king oyster mushroom</t>
  </si>
  <si>
    <t>long green bean</t>
  </si>
  <si>
    <t>bamboo shoot</t>
  </si>
  <si>
    <t>carrot</t>
  </si>
  <si>
    <t>Cost</t>
  </si>
  <si>
    <t>Veggies: 30.9 lbs, $27.04, Chinatown</t>
  </si>
  <si>
    <t>Lobster: 2.65 lbs, $23.79</t>
  </si>
  <si>
    <t>Chicken: 12.23 lbs, $25.57, Safeway</t>
  </si>
  <si>
    <t>Salmon: $18.66</t>
  </si>
  <si>
    <t>bamboo</t>
  </si>
  <si>
    <t>baby shoots, cooked</t>
  </si>
  <si>
    <t>Cellucor C4 Extreme</t>
  </si>
  <si>
    <t>1 bag</t>
  </si>
  <si>
    <t>Lipton green tea</t>
  </si>
  <si>
    <t>Anavite by Gaspari Nutrition</t>
  </si>
  <si>
    <t>1 pill</t>
  </si>
  <si>
    <t>Day</t>
  </si>
  <si>
    <t>Week</t>
  </si>
  <si>
    <t>Month</t>
  </si>
  <si>
    <t>Per meal</t>
  </si>
  <si>
    <t>Calories per gram</t>
  </si>
  <si>
    <t>Food costs</t>
  </si>
  <si>
    <t>Weight (lbs)</t>
  </si>
  <si>
    <t>Calories (Gain)</t>
  </si>
  <si>
    <t>Calories (Lose)</t>
  </si>
  <si>
    <t>Estimates</t>
  </si>
  <si>
    <t>baby spinach</t>
  </si>
  <si>
    <t>waxy maize</t>
  </si>
  <si>
    <t>Optimum Nutrition Glycomaize, Unflavored</t>
  </si>
  <si>
    <t>Day (no tax)</t>
  </si>
  <si>
    <t>Burn Rate</t>
  </si>
  <si>
    <t>Date</t>
  </si>
  <si>
    <t>Body Fat %</t>
  </si>
  <si>
    <t>Label weight</t>
  </si>
  <si>
    <t>Product</t>
  </si>
  <si>
    <t>Cooked weight</t>
  </si>
  <si>
    <t>Foster Farms 99% lean chicken</t>
  </si>
  <si>
    <t>Extreme Value 97% lean chicken</t>
  </si>
  <si>
    <t>Visible fat weight</t>
  </si>
  <si>
    <t>Real weight</t>
  </si>
  <si>
    <t>% loss (fat)</t>
  </si>
  <si>
    <t>% loss (label)</t>
  </si>
  <si>
    <t>% loss (cooked)</t>
  </si>
  <si>
    <t>Total price</t>
  </si>
  <si>
    <t>Price / lb</t>
  </si>
  <si>
    <t>Real price / lb</t>
  </si>
  <si>
    <t>Price increase</t>
  </si>
  <si>
    <t>The Real Weight of Chicken</t>
  </si>
  <si>
    <t>Modern BCAA</t>
  </si>
  <si>
    <t>USP Labs Modern BCAA 15 oz</t>
  </si>
  <si>
    <t>glutamine</t>
  </si>
  <si>
    <t>Optimum Nutrition Glutamine Powder 1000g</t>
  </si>
  <si>
    <t>Water %</t>
  </si>
  <si>
    <t>Muscle %</t>
  </si>
  <si>
    <t>Fat %</t>
  </si>
  <si>
    <t>Thigh (mm)</t>
  </si>
  <si>
    <t>Chest (mm)</t>
  </si>
  <si>
    <t>Waist (mm)</t>
  </si>
  <si>
    <t>Fat (lb)</t>
  </si>
  <si>
    <t>Weight (lb)</t>
  </si>
  <si>
    <t>FFM (lb)</t>
  </si>
  <si>
    <t>Water (lb)</t>
  </si>
  <si>
    <t>Bone (lb)</t>
  </si>
  <si>
    <t>Fat % (3JP)</t>
  </si>
  <si>
    <t>Carbs</t>
  </si>
  <si>
    <t>Jason old data</t>
  </si>
  <si>
    <t>Chinatown prices</t>
  </si>
  <si>
    <t>1/8/12 Groceries</t>
  </si>
  <si>
    <t>Day after huge cheat meal (Shelley's birthday) of birthday cake and hotpot</t>
  </si>
  <si>
    <t>Time</t>
  </si>
  <si>
    <t>First day using BodyMetrix</t>
  </si>
  <si>
    <t>Type</t>
  </si>
  <si>
    <t>Evening</t>
  </si>
  <si>
    <t>Morning</t>
  </si>
  <si>
    <t>Barlean's Highest Lignan Flax Oil Liquid 100% Organic 16 oz</t>
  </si>
  <si>
    <t>salsa</t>
  </si>
  <si>
    <t>Safeway Select Southwest Salsa Medium 1.98 kg</t>
  </si>
  <si>
    <t>ketchup</t>
  </si>
  <si>
    <t>Heinz Reduced Sugar Ketchup</t>
  </si>
  <si>
    <t>lucerne large curd 4% milkfat cottage cheese</t>
  </si>
  <si>
    <t>tuna</t>
  </si>
  <si>
    <t>Starkist Chunk Light Tuna in Water</t>
  </si>
  <si>
    <t>4th day of bulking - arms</t>
  </si>
  <si>
    <t>5th day of bulking - back</t>
  </si>
  <si>
    <t>turkey breast</t>
  </si>
  <si>
    <t>Columbus Roasted Turkey Breast</t>
  </si>
  <si>
    <t>mozzarella</t>
  </si>
  <si>
    <t>Trader Joe's Sliced, Part Skim Mozzarella Cheese</t>
  </si>
  <si>
    <t>Other notes</t>
  </si>
  <si>
    <t>arms</t>
  </si>
  <si>
    <t>back</t>
  </si>
  <si>
    <t>Run (min)</t>
  </si>
  <si>
    <t>Workout</t>
  </si>
  <si>
    <t>non broccoli</t>
  </si>
  <si>
    <t>1/30/12 Groceries</t>
  </si>
  <si>
    <t>Trader Joes Chicken: $90.81</t>
  </si>
  <si>
    <t>Safeway Salmon: $28.52</t>
  </si>
  <si>
    <t>Chinatown (Veggies, brown rice, shrimp): $67.05</t>
  </si>
  <si>
    <t>1/29/12 Jason</t>
  </si>
  <si>
    <t>1/29/12 Vincent</t>
  </si>
  <si>
    <t>athletic greens</t>
  </si>
  <si>
    <t>Athletic Greens Superfood Cocktail</t>
  </si>
  <si>
    <t>chest</t>
  </si>
  <si>
    <t>Mon</t>
  </si>
  <si>
    <t>Tue</t>
  </si>
  <si>
    <t>Wed</t>
  </si>
  <si>
    <t>Thu</t>
  </si>
  <si>
    <t>Fri</t>
  </si>
  <si>
    <t>Sat</t>
  </si>
  <si>
    <t>Sun</t>
  </si>
  <si>
    <t>Chest</t>
  </si>
  <si>
    <t>Legs</t>
  </si>
  <si>
    <t>Shoulders</t>
  </si>
  <si>
    <t>Arms</t>
  </si>
  <si>
    <t>Back</t>
  </si>
  <si>
    <t>Details</t>
  </si>
  <si>
    <t>Barbell incline bench press, dumbbell bench press, incline dumbbell flys</t>
  </si>
  <si>
    <t>Barbell squat, Leg press, Leg extensions</t>
  </si>
  <si>
    <t>Standing shoulder press, Wide-grip upright barbell row, Standing dumbbell upright row, Side lateral raise, Seated bent-over rear delt raise</t>
  </si>
  <si>
    <t>Barbell curl, Seated dumbbell curl, Preacher curl, Lying tricep press, Tricep pushdown, Dumbbell incline tricep extension</t>
  </si>
  <si>
    <t>Barbell deadlift, One-arm dumbbell row, Wide-grip lat pulldown</t>
  </si>
  <si>
    <t>Abs</t>
  </si>
  <si>
    <t>Cardio</t>
  </si>
  <si>
    <t>Cardio, Shoulders, Arms</t>
  </si>
  <si>
    <t>Cardio, Chest</t>
  </si>
  <si>
    <t>creatine</t>
  </si>
  <si>
    <t>Optimum Nutrition Creatine Powder 1200g</t>
  </si>
  <si>
    <t>Late night</t>
  </si>
  <si>
    <t>pork sung</t>
  </si>
  <si>
    <t>cooked dried pork</t>
  </si>
  <si>
    <t>1st day of bulking - Day after cheat meal Chinese New Year @ Ying &amp; Christine's place</t>
  </si>
  <si>
    <t>xtend</t>
  </si>
  <si>
    <t>Scivation Xtend</t>
  </si>
  <si>
    <t>16th day of bulking - Day after 2 rest days.</t>
  </si>
  <si>
    <t>legs</t>
  </si>
  <si>
    <t>Rice Stats</t>
  </si>
  <si>
    <t>1 measuring cup = 5.6 oz uncooked rice</t>
  </si>
  <si>
    <t>Weight of rice pot without lid = 14.2 oz</t>
  </si>
  <si>
    <t>Ratio: 5.6 oz rice to 6.76 oz water (based on 5 measuring cups of uncooked rice)</t>
  </si>
  <si>
    <t>water</t>
  </si>
  <si>
    <t>Interval</t>
  </si>
  <si>
    <t xml:space="preserve"> </t>
  </si>
  <si>
    <t>Speed (g / hr)</t>
  </si>
  <si>
    <t>Amount (g)</t>
  </si>
  <si>
    <t>Cumulative (g)</t>
  </si>
  <si>
    <t>11th day of bulking - Started using creatine</t>
  </si>
  <si>
    <t>Started taking milk 1/30/12</t>
  </si>
  <si>
    <t>2/12/12 Groceries</t>
  </si>
  <si>
    <t>Costco Chicken: $43.27</t>
  </si>
  <si>
    <t>Costco veggies (spinach, broccoli, asparagus): $36.49</t>
  </si>
  <si>
    <t>Kim Chi (3 jars): $6.99 each</t>
  </si>
  <si>
    <t>Total: $107.72</t>
  </si>
  <si>
    <t>zma pro</t>
  </si>
  <si>
    <t>Universal Nutrition ZMA Pro 90 Capsules</t>
  </si>
  <si>
    <t>Had 2 cheat meals over the weekend - New Sun Hong Kong, and Samovar. Noticing big muscle gains.</t>
  </si>
  <si>
    <t>Costco prices</t>
  </si>
  <si>
    <t>spinach</t>
  </si>
  <si>
    <t>chicken (Foster Farms 99% lean)</t>
  </si>
  <si>
    <t>Hours awake</t>
  </si>
  <si>
    <t>Started split workout, heavy lifting in the morning, abs and running at night. Cut out milk and yogurt from my diet.</t>
  </si>
  <si>
    <t>Been feeling fat and bloated recently, either from milk or creatine.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</si>
</sst>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0.000000"/>
    <numFmt numFmtId="166" formatCode="0.0"/>
    <numFmt numFmtId="167" formatCode="0.0%"/>
    <numFmt numFmtId="168" formatCode="_([$$-409]* #,##0.00_);_([$$-409]* \(#,##0.00\);_([$$-409]* &quot;-&quot;??_);_(@_)"/>
    <numFmt numFmtId="169" formatCode="[$-409]h:mm\ AM/PM;@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entury Gothic"/>
    </font>
    <font>
      <sz val="12"/>
      <color theme="1"/>
      <name val="Century Gothic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entury Gothic"/>
    </font>
    <font>
      <b/>
      <sz val="11"/>
      <color theme="1"/>
      <name val="Century Gothic"/>
    </font>
    <font>
      <sz val="11"/>
      <name val="Century Gothic"/>
    </font>
    <font>
      <b/>
      <sz val="11"/>
      <color theme="0"/>
      <name val="Century Gothic"/>
    </font>
    <font>
      <sz val="10"/>
      <color theme="1"/>
      <name val="Century Gothic"/>
    </font>
    <font>
      <b/>
      <sz val="12"/>
      <color theme="0"/>
      <name val="Century Gothic"/>
    </font>
    <font>
      <sz val="11"/>
      <color theme="0"/>
      <name val="Century Gothic"/>
    </font>
    <font>
      <sz val="12"/>
      <color rgb="FF000000"/>
      <name val="Century Gothic"/>
    </font>
    <font>
      <b/>
      <sz val="11"/>
      <color rgb="FFFFFFFF"/>
      <name val="Century Gothic"/>
    </font>
    <font>
      <b/>
      <sz val="20"/>
      <color theme="1"/>
      <name val="Century Gothic"/>
    </font>
    <font>
      <b/>
      <sz val="11"/>
      <name val="Century Gothic"/>
    </font>
    <font>
      <sz val="11"/>
      <color theme="0" tint="-0.499984740745262"/>
      <name val="Century Gothic"/>
    </font>
    <font>
      <sz val="12"/>
      <color theme="0" tint="-0.499984740745262"/>
      <name val="Century Gothic"/>
    </font>
    <font>
      <b/>
      <sz val="11"/>
      <color theme="0" tint="-0.499984740745262"/>
      <name val="Century Gothic"/>
    </font>
    <font>
      <sz val="9"/>
      <color theme="0" tint="-0.34998626667073579"/>
      <name val="Century Gothic"/>
    </font>
    <font>
      <b/>
      <sz val="9"/>
      <color theme="0" tint="-0.34998626667073579"/>
      <name val="Century Gothic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entury Gothic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entury Gothic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2146B1"/>
        <bgColor indexed="64"/>
      </patternFill>
    </fill>
    <fill>
      <patternFill patternType="solid">
        <fgColor rgb="FF2146B1"/>
        <bgColor rgb="FF000000"/>
      </patternFill>
    </fill>
    <fill>
      <patternFill patternType="solid">
        <fgColor rgb="FF678034"/>
        <bgColor indexed="64"/>
      </patternFill>
    </fill>
    <fill>
      <patternFill patternType="solid">
        <fgColor rgb="FF607831"/>
        <bgColor indexed="64"/>
      </patternFill>
    </fill>
    <fill>
      <patternFill patternType="solid">
        <fgColor rgb="FF3B659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80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shrinkToFit="1"/>
    </xf>
    <xf numFmtId="0" fontId="4" fillId="0" borderId="0" xfId="0" applyFont="1" applyAlignment="1"/>
    <xf numFmtId="0" fontId="4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horizontal="left" shrinkToFit="1"/>
    </xf>
    <xf numFmtId="0" fontId="3" fillId="3" borderId="0" xfId="0" applyFont="1" applyFill="1" applyBorder="1" applyAlignment="1">
      <alignment horizontal="left" shrinkToFit="1"/>
    </xf>
    <xf numFmtId="0" fontId="4" fillId="3" borderId="0" xfId="0" applyFont="1" applyFill="1" applyBorder="1" applyAlignment="1">
      <alignment horizontal="left" shrinkToFit="1"/>
    </xf>
    <xf numFmtId="0" fontId="7" fillId="0" borderId="0" xfId="0" applyFont="1" applyAlignment="1">
      <alignment horizontal="center" shrinkToFit="1"/>
    </xf>
    <xf numFmtId="0" fontId="7" fillId="0" borderId="0" xfId="0" applyFont="1" applyFill="1" applyBorder="1" applyAlignment="1">
      <alignment horizontal="left" shrinkToFit="1"/>
    </xf>
    <xf numFmtId="0" fontId="7" fillId="0" borderId="0" xfId="0" applyFont="1" applyFill="1" applyBorder="1" applyAlignment="1">
      <alignment shrinkToFit="1"/>
    </xf>
    <xf numFmtId="20" fontId="7" fillId="0" borderId="0" xfId="0" applyNumberFormat="1" applyFont="1" applyFill="1" applyBorder="1" applyAlignment="1">
      <alignment horizontal="left" shrinkToFit="1"/>
    </xf>
    <xf numFmtId="0" fontId="10" fillId="4" borderId="0" xfId="0" applyFont="1" applyFill="1" applyAlignment="1">
      <alignment horizontal="left" shrinkToFit="1"/>
    </xf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 shrinkToFit="1"/>
    </xf>
    <xf numFmtId="0" fontId="10" fillId="4" borderId="0" xfId="0" applyFont="1" applyFill="1" applyBorder="1" applyAlignment="1">
      <alignment horizontal="left" shrinkToFit="1"/>
    </xf>
    <xf numFmtId="1" fontId="3" fillId="0" borderId="0" xfId="0" applyNumberFormat="1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1" fontId="11" fillId="0" borderId="0" xfId="0" applyNumberFormat="1" applyFont="1" applyAlignment="1">
      <alignment horizontal="center" shrinkToFit="1"/>
    </xf>
    <xf numFmtId="0" fontId="11" fillId="0" borderId="0" xfId="0" applyFont="1" applyAlignment="1">
      <alignment horizontal="center" shrinkToFit="1"/>
    </xf>
    <xf numFmtId="0" fontId="11" fillId="3" borderId="0" xfId="0" applyFont="1" applyFill="1" applyAlignment="1">
      <alignment horizontal="center"/>
    </xf>
    <xf numFmtId="2" fontId="7" fillId="0" borderId="0" xfId="0" applyNumberFormat="1" applyFont="1" applyAlignment="1">
      <alignment horizontal="center" shrinkToFit="1"/>
    </xf>
    <xf numFmtId="2" fontId="7" fillId="0" borderId="0" xfId="0" applyNumberFormat="1" applyFont="1" applyFill="1" applyAlignment="1">
      <alignment horizontal="center"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 shrinkToFit="1"/>
    </xf>
    <xf numFmtId="0" fontId="7" fillId="0" borderId="0" xfId="0" applyFont="1" applyFill="1" applyAlignment="1">
      <alignment horizontal="left"/>
    </xf>
    <xf numFmtId="20" fontId="8" fillId="2" borderId="0" xfId="0" applyNumberFormat="1" applyFont="1" applyFill="1" applyBorder="1" applyAlignment="1">
      <alignment horizontal="left" shrinkToFit="1"/>
    </xf>
    <xf numFmtId="0" fontId="7" fillId="0" borderId="0" xfId="0" applyFont="1" applyAlignment="1">
      <alignment horizontal="right" shrinkToFit="1"/>
    </xf>
    <xf numFmtId="0" fontId="10" fillId="4" borderId="0" xfId="0" applyFont="1" applyFill="1" applyBorder="1" applyAlignment="1">
      <alignment horizontal="right" shrinkToFit="1"/>
    </xf>
    <xf numFmtId="0" fontId="7" fillId="0" borderId="0" xfId="0" applyFont="1" applyFill="1" applyBorder="1" applyAlignment="1">
      <alignment horizontal="right" shrinkToFit="1"/>
    </xf>
    <xf numFmtId="2" fontId="7" fillId="0" borderId="0" xfId="0" applyNumberFormat="1" applyFont="1" applyFill="1" applyBorder="1" applyAlignment="1">
      <alignment horizontal="right" shrinkToFit="1"/>
    </xf>
    <xf numFmtId="0" fontId="8" fillId="2" borderId="0" xfId="0" applyFont="1" applyFill="1" applyBorder="1" applyAlignment="1">
      <alignment horizontal="right" shrinkToFit="1"/>
    </xf>
    <xf numFmtId="2" fontId="8" fillId="2" borderId="0" xfId="0" applyNumberFormat="1" applyFont="1" applyFill="1" applyBorder="1" applyAlignment="1">
      <alignment horizontal="right" shrinkToFit="1"/>
    </xf>
    <xf numFmtId="0" fontId="4" fillId="0" borderId="0" xfId="0" applyFont="1" applyAlignment="1">
      <alignment horizontal="right" shrinkToFit="1"/>
    </xf>
    <xf numFmtId="0" fontId="7" fillId="0" borderId="0" xfId="0" applyFont="1" applyBorder="1" applyAlignment="1">
      <alignment horizontal="right" shrinkToFit="1"/>
    </xf>
    <xf numFmtId="0" fontId="8" fillId="0" borderId="0" xfId="0" applyFont="1" applyFill="1" applyBorder="1" applyAlignment="1">
      <alignment horizontal="right" shrinkToFit="1"/>
    </xf>
    <xf numFmtId="0" fontId="10" fillId="5" borderId="0" xfId="0" applyFont="1" applyFill="1" applyBorder="1" applyAlignment="1">
      <alignment horizontal="left" shrinkToFit="1"/>
    </xf>
    <xf numFmtId="0" fontId="10" fillId="5" borderId="0" xfId="0" applyFont="1" applyFill="1" applyBorder="1" applyAlignment="1">
      <alignment horizontal="right" shrinkToFit="1"/>
    </xf>
    <xf numFmtId="0" fontId="10" fillId="6" borderId="0" xfId="0" applyFont="1" applyFill="1" applyBorder="1" applyAlignment="1">
      <alignment horizontal="left" shrinkToFit="1"/>
    </xf>
    <xf numFmtId="0" fontId="10" fillId="6" borderId="0" xfId="0" applyFont="1" applyFill="1" applyBorder="1" applyAlignment="1">
      <alignment horizontal="right" shrinkToFit="1"/>
    </xf>
    <xf numFmtId="0" fontId="7" fillId="0" borderId="0" xfId="0" applyFont="1" applyAlignment="1"/>
    <xf numFmtId="20" fontId="8" fillId="0" borderId="0" xfId="0" applyNumberFormat="1" applyFont="1" applyFill="1" applyBorder="1" applyAlignment="1">
      <alignment horizontal="left" shrinkToFit="1"/>
    </xf>
    <xf numFmtId="2" fontId="8" fillId="0" borderId="0" xfId="0" applyNumberFormat="1" applyFont="1" applyFill="1" applyBorder="1" applyAlignment="1">
      <alignment horizontal="right" shrinkToFit="1"/>
    </xf>
    <xf numFmtId="0" fontId="10" fillId="7" borderId="0" xfId="0" applyFont="1" applyFill="1" applyBorder="1" applyAlignment="1">
      <alignment horizontal="left" shrinkToFit="1"/>
    </xf>
    <xf numFmtId="0" fontId="10" fillId="7" borderId="0" xfId="0" applyFont="1" applyFill="1" applyBorder="1" applyAlignment="1">
      <alignment horizontal="right" shrinkToFit="1"/>
    </xf>
    <xf numFmtId="0" fontId="4" fillId="0" borderId="0" xfId="0" applyFont="1"/>
    <xf numFmtId="0" fontId="12" fillId="4" borderId="0" xfId="0" applyFont="1" applyFill="1" applyAlignment="1">
      <alignment horizontal="left" shrinkToFit="1"/>
    </xf>
    <xf numFmtId="0" fontId="4" fillId="0" borderId="0" xfId="0" applyFont="1" applyAlignment="1">
      <alignment horizontal="right"/>
    </xf>
    <xf numFmtId="164" fontId="7" fillId="0" borderId="0" xfId="0" applyNumberFormat="1" applyFont="1" applyAlignment="1">
      <alignment horizontal="center" shrinkToFit="1"/>
    </xf>
    <xf numFmtId="164" fontId="4" fillId="0" borderId="0" xfId="0" applyNumberFormat="1" applyFont="1" applyAlignment="1">
      <alignment horizontal="center" shrinkToFit="1"/>
    </xf>
    <xf numFmtId="164" fontId="7" fillId="0" borderId="0" xfId="0" applyNumberFormat="1" applyFont="1" applyFill="1" applyAlignment="1">
      <alignment horizontal="center" shrinkToFit="1"/>
    </xf>
    <xf numFmtId="0" fontId="8" fillId="0" borderId="0" xfId="0" applyFont="1" applyFill="1" applyAlignment="1">
      <alignment horizontal="left" shrinkToFit="1"/>
    </xf>
    <xf numFmtId="0" fontId="8" fillId="0" borderId="0" xfId="0" applyFont="1" applyFill="1" applyAlignment="1">
      <alignment horizontal="right" shrinkToFit="1"/>
    </xf>
    <xf numFmtId="0" fontId="4" fillId="0" borderId="0" xfId="0" applyFont="1" applyFill="1" applyAlignment="1">
      <alignment horizontal="right" shrinkToFit="1"/>
    </xf>
    <xf numFmtId="44" fontId="7" fillId="0" borderId="0" xfId="225" applyFont="1" applyAlignment="1">
      <alignment horizontal="left" shrinkToFit="1"/>
    </xf>
    <xf numFmtId="0" fontId="13" fillId="4" borderId="0" xfId="0" applyFont="1" applyFill="1" applyAlignment="1">
      <alignment horizontal="left"/>
    </xf>
    <xf numFmtId="165" fontId="7" fillId="0" borderId="0" xfId="0" applyNumberFormat="1" applyFont="1" applyAlignment="1">
      <alignment horizontal="right" shrinkToFit="1"/>
    </xf>
    <xf numFmtId="1" fontId="4" fillId="0" borderId="0" xfId="0" applyNumberFormat="1" applyFont="1" applyBorder="1" applyAlignment="1">
      <alignment horizontal="right" shrinkToFit="1"/>
    </xf>
    <xf numFmtId="2" fontId="4" fillId="0" borderId="0" xfId="0" applyNumberFormat="1" applyFont="1" applyBorder="1" applyAlignment="1">
      <alignment horizontal="right" shrinkToFit="1"/>
    </xf>
    <xf numFmtId="14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7" fillId="0" borderId="0" xfId="0" applyFont="1"/>
    <xf numFmtId="14" fontId="8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right" shrinkToFit="1"/>
    </xf>
    <xf numFmtId="164" fontId="7" fillId="0" borderId="0" xfId="0" applyNumberFormat="1" applyFont="1" applyAlignment="1">
      <alignment horizontal="center"/>
    </xf>
    <xf numFmtId="44" fontId="7" fillId="0" borderId="0" xfId="225" applyFont="1" applyAlignment="1">
      <alignment horizontal="center"/>
    </xf>
    <xf numFmtId="168" fontId="7" fillId="0" borderId="0" xfId="0" applyNumberFormat="1" applyFont="1" applyAlignment="1">
      <alignment horizontal="center"/>
    </xf>
    <xf numFmtId="167" fontId="7" fillId="0" borderId="0" xfId="43" applyNumberFormat="1" applyFont="1" applyAlignment="1">
      <alignment horizontal="center"/>
    </xf>
    <xf numFmtId="9" fontId="7" fillId="0" borderId="0" xfId="43" applyFont="1"/>
    <xf numFmtId="2" fontId="8" fillId="2" borderId="0" xfId="0" applyNumberFormat="1" applyFont="1" applyFill="1" applyAlignment="1">
      <alignment horizontal="right" shrinkToFit="1"/>
    </xf>
    <xf numFmtId="164" fontId="8" fillId="2" borderId="0" xfId="0" applyNumberFormat="1" applyFont="1" applyFill="1" applyAlignment="1">
      <alignment horizontal="center"/>
    </xf>
    <xf numFmtId="44" fontId="8" fillId="2" borderId="0" xfId="225" applyFont="1" applyFill="1" applyAlignment="1">
      <alignment horizontal="center"/>
    </xf>
    <xf numFmtId="167" fontId="8" fillId="2" borderId="0" xfId="43" applyNumberFormat="1" applyFont="1" applyFill="1" applyAlignment="1">
      <alignment horizontal="center"/>
    </xf>
    <xf numFmtId="2" fontId="7" fillId="0" borderId="0" xfId="0" applyNumberFormat="1" applyFont="1" applyAlignment="1">
      <alignment horizontal="right"/>
    </xf>
    <xf numFmtId="0" fontId="9" fillId="0" borderId="0" xfId="0" applyFont="1" applyFill="1" applyAlignment="1">
      <alignment horizontal="right"/>
    </xf>
    <xf numFmtId="8" fontId="7" fillId="0" borderId="0" xfId="0" applyNumberFormat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0" fontId="10" fillId="8" borderId="0" xfId="0" applyFont="1" applyFill="1" applyAlignment="1">
      <alignment horizontal="center" shrinkToFit="1"/>
    </xf>
    <xf numFmtId="0" fontId="10" fillId="9" borderId="0" xfId="0" applyFont="1" applyFill="1" applyAlignment="1">
      <alignment horizontal="center" shrinkToFit="1"/>
    </xf>
    <xf numFmtId="0" fontId="10" fillId="10" borderId="0" xfId="0" applyFont="1" applyFill="1" applyAlignment="1">
      <alignment horizontal="center" shrinkToFit="1"/>
    </xf>
    <xf numFmtId="0" fontId="15" fillId="11" borderId="0" xfId="0" applyFont="1" applyFill="1" applyAlignment="1">
      <alignment horizontal="center" shrinkToFit="1"/>
    </xf>
    <xf numFmtId="0" fontId="10" fillId="12" borderId="0" xfId="0" applyFont="1" applyFill="1" applyAlignment="1">
      <alignment horizontal="center" shrinkToFit="1"/>
    </xf>
    <xf numFmtId="2" fontId="10" fillId="12" borderId="0" xfId="0" applyNumberFormat="1" applyFont="1" applyFill="1" applyAlignment="1">
      <alignment horizontal="center" shrinkToFit="1"/>
    </xf>
    <xf numFmtId="9" fontId="7" fillId="0" borderId="0" xfId="43" applyFont="1" applyAlignment="1">
      <alignment horizontal="center"/>
    </xf>
    <xf numFmtId="44" fontId="8" fillId="2" borderId="0" xfId="0" applyNumberFormat="1" applyFont="1" applyFill="1" applyAlignment="1">
      <alignment horizontal="center"/>
    </xf>
    <xf numFmtId="9" fontId="8" fillId="2" borderId="0" xfId="43" applyFont="1" applyFill="1" applyAlignment="1">
      <alignment horizontal="center"/>
    </xf>
    <xf numFmtId="0" fontId="16" fillId="0" borderId="0" xfId="0" applyFont="1"/>
    <xf numFmtId="1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10" fillId="13" borderId="0" xfId="0" applyFont="1" applyFill="1" applyAlignment="1">
      <alignment horizontal="center"/>
    </xf>
    <xf numFmtId="0" fontId="10" fillId="13" borderId="0" xfId="0" applyFont="1" applyFill="1" applyAlignment="1">
      <alignment horizontal="center" shrinkToFit="1"/>
    </xf>
    <xf numFmtId="0" fontId="10" fillId="14" borderId="0" xfId="0" applyFont="1" applyFill="1" applyAlignment="1">
      <alignment horizontal="center" shrinkToFit="1"/>
    </xf>
    <xf numFmtId="0" fontId="17" fillId="0" borderId="0" xfId="0" applyFont="1" applyFill="1" applyAlignment="1">
      <alignment horizontal="center" shrinkToFit="1"/>
    </xf>
    <xf numFmtId="44" fontId="4" fillId="0" borderId="0" xfId="225" applyFont="1" applyAlignment="1">
      <alignment horizontal="right"/>
    </xf>
    <xf numFmtId="0" fontId="12" fillId="4" borderId="0" xfId="0" applyFont="1" applyFill="1" applyAlignment="1">
      <alignment horizontal="center"/>
    </xf>
    <xf numFmtId="0" fontId="10" fillId="15" borderId="0" xfId="0" applyFont="1" applyFill="1" applyAlignment="1">
      <alignment horizontal="center" shrinkToFit="1"/>
    </xf>
    <xf numFmtId="18" fontId="0" fillId="0" borderId="0" xfId="0" applyNumberFormat="1" applyAlignment="1">
      <alignment horizontal="center"/>
    </xf>
    <xf numFmtId="169" fontId="18" fillId="0" borderId="0" xfId="0" applyNumberFormat="1" applyFont="1" applyAlignment="1">
      <alignment horizontal="center" shrinkToFit="1"/>
    </xf>
    <xf numFmtId="0" fontId="19" fillId="0" borderId="0" xfId="0" applyFont="1" applyAlignment="1">
      <alignment horizontal="center" shrinkToFit="1"/>
    </xf>
    <xf numFmtId="2" fontId="18" fillId="0" borderId="0" xfId="0" applyNumberFormat="1" applyFont="1" applyFill="1" applyBorder="1" applyAlignment="1">
      <alignment horizontal="center" shrinkToFit="1"/>
    </xf>
    <xf numFmtId="169" fontId="18" fillId="0" borderId="0" xfId="0" applyNumberFormat="1" applyFont="1" applyFill="1" applyBorder="1" applyAlignment="1">
      <alignment horizontal="center" shrinkToFit="1"/>
    </xf>
    <xf numFmtId="0" fontId="19" fillId="0" borderId="0" xfId="0" applyFont="1" applyBorder="1" applyAlignment="1">
      <alignment horizontal="center" shrinkToFit="1"/>
    </xf>
    <xf numFmtId="18" fontId="19" fillId="0" borderId="0" xfId="0" applyNumberFormat="1" applyFont="1" applyBorder="1" applyAlignment="1">
      <alignment horizontal="center" shrinkToFit="1"/>
    </xf>
    <xf numFmtId="0" fontId="18" fillId="0" borderId="0" xfId="0" applyFont="1" applyFill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20" fillId="0" borderId="0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 shrinkToFit="1"/>
    </xf>
    <xf numFmtId="20" fontId="18" fillId="0" borderId="0" xfId="0" applyNumberFormat="1" applyFont="1" applyBorder="1" applyAlignment="1">
      <alignment horizontal="center" shrinkToFit="1"/>
    </xf>
    <xf numFmtId="20" fontId="19" fillId="0" borderId="0" xfId="0" applyNumberFormat="1" applyFont="1" applyBorder="1" applyAlignment="1">
      <alignment horizontal="center" shrinkToFit="1"/>
    </xf>
    <xf numFmtId="169" fontId="21" fillId="0" borderId="0" xfId="0" applyNumberFormat="1" applyFont="1" applyAlignment="1">
      <alignment horizontal="center" shrinkToFit="1"/>
    </xf>
    <xf numFmtId="169" fontId="21" fillId="0" borderId="0" xfId="0" applyNumberFormat="1" applyFont="1" applyFill="1" applyBorder="1" applyAlignment="1">
      <alignment horizontal="center" shrinkToFit="1"/>
    </xf>
    <xf numFmtId="1" fontId="4" fillId="0" borderId="0" xfId="0" applyNumberFormat="1" applyFont="1" applyAlignment="1">
      <alignment horizontal="center" shrinkToFit="1"/>
    </xf>
    <xf numFmtId="0" fontId="15" fillId="16" borderId="0" xfId="0" applyFont="1" applyFill="1" applyAlignment="1">
      <alignment horizontal="center" shrinkToFit="1"/>
    </xf>
    <xf numFmtId="14" fontId="23" fillId="0" borderId="0" xfId="0" applyNumberFormat="1" applyFont="1" applyAlignment="1">
      <alignment horizontal="center"/>
    </xf>
    <xf numFmtId="18" fontId="2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5" fillId="17" borderId="0" xfId="0" applyFont="1" applyFill="1" applyAlignment="1">
      <alignment horizontal="center" shrinkToFit="1"/>
    </xf>
    <xf numFmtId="0" fontId="15" fillId="18" borderId="0" xfId="0" applyFont="1" applyFill="1" applyAlignment="1">
      <alignment horizontal="center" shrinkToFit="1"/>
    </xf>
    <xf numFmtId="0" fontId="15" fillId="18" borderId="0" xfId="0" applyFont="1" applyFill="1" applyAlignment="1">
      <alignment horizontal="left" shrinkToFit="1"/>
    </xf>
    <xf numFmtId="18" fontId="23" fillId="0" borderId="0" xfId="0" applyNumberFormat="1" applyFont="1" applyAlignment="1">
      <alignment horizontal="left"/>
    </xf>
    <xf numFmtId="0" fontId="24" fillId="0" borderId="0" xfId="0" applyFont="1" applyFill="1"/>
    <xf numFmtId="9" fontId="25" fillId="0" borderId="0" xfId="43" applyFont="1" applyFill="1" applyAlignment="1">
      <alignment horizontal="right" shrinkToFit="1"/>
    </xf>
    <xf numFmtId="0" fontId="26" fillId="0" borderId="0" xfId="0" applyFont="1" applyFill="1"/>
    <xf numFmtId="20" fontId="27" fillId="0" borderId="0" xfId="0" applyNumberFormat="1" applyFont="1" applyFill="1" applyBorder="1" applyAlignment="1">
      <alignment horizontal="left" shrinkToFit="1"/>
    </xf>
    <xf numFmtId="0" fontId="27" fillId="0" borderId="0" xfId="0" applyFont="1" applyFill="1" applyBorder="1" applyAlignment="1">
      <alignment horizontal="right" shrinkToFit="1"/>
    </xf>
    <xf numFmtId="2" fontId="27" fillId="0" borderId="0" xfId="0" applyNumberFormat="1" applyFont="1" applyFill="1" applyBorder="1" applyAlignment="1">
      <alignment horizontal="right" shrinkToFit="1"/>
    </xf>
    <xf numFmtId="2" fontId="4" fillId="0" borderId="0" xfId="0" applyNumberFormat="1" applyFont="1" applyAlignment="1">
      <alignment horizontal="center" shrinkToFit="1"/>
    </xf>
    <xf numFmtId="169" fontId="7" fillId="0" borderId="0" xfId="0" applyNumberFormat="1" applyFont="1" applyAlignment="1">
      <alignment horizontal="center" shrinkToFit="1"/>
    </xf>
    <xf numFmtId="0" fontId="10" fillId="4" borderId="0" xfId="0" applyFont="1" applyFill="1" applyBorder="1" applyAlignment="1">
      <alignment horizontal="center" shrinkToFit="1"/>
    </xf>
    <xf numFmtId="0" fontId="10" fillId="5" borderId="0" xfId="0" applyFont="1" applyFill="1" applyBorder="1" applyAlignment="1">
      <alignment horizontal="center" shrinkToFit="1"/>
    </xf>
    <xf numFmtId="169" fontId="0" fillId="0" borderId="0" xfId="0" applyNumberFormat="1"/>
    <xf numFmtId="169" fontId="21" fillId="0" borderId="0" xfId="0" applyNumberFormat="1" applyFont="1" applyBorder="1" applyAlignment="1">
      <alignment horizontal="center" shrinkToFit="1"/>
    </xf>
    <xf numFmtId="169" fontId="21" fillId="0" borderId="0" xfId="0" applyNumberFormat="1" applyFont="1" applyFill="1" applyAlignment="1">
      <alignment horizontal="center" shrinkToFit="1"/>
    </xf>
    <xf numFmtId="169" fontId="22" fillId="0" borderId="0" xfId="0" applyNumberFormat="1" applyFont="1" applyFill="1" applyBorder="1" applyAlignment="1">
      <alignment horizontal="center" shrinkToFit="1"/>
    </xf>
    <xf numFmtId="0" fontId="10" fillId="20" borderId="0" xfId="0" applyFont="1" applyFill="1" applyBorder="1" applyAlignment="1">
      <alignment horizontal="center" shrinkToFit="1"/>
    </xf>
    <xf numFmtId="0" fontId="10" fillId="9" borderId="0" xfId="0" applyFont="1" applyFill="1" applyBorder="1" applyAlignment="1">
      <alignment horizontal="center" shrinkToFit="1"/>
    </xf>
    <xf numFmtId="0" fontId="10" fillId="21" borderId="0" xfId="0" applyFont="1" applyFill="1" applyBorder="1" applyAlignment="1">
      <alignment horizontal="center" shrinkToFit="1"/>
    </xf>
    <xf numFmtId="167" fontId="11" fillId="0" borderId="0" xfId="43" applyNumberFormat="1" applyFont="1" applyAlignment="1">
      <alignment horizontal="center" shrinkToFit="1"/>
    </xf>
    <xf numFmtId="0" fontId="12" fillId="22" borderId="0" xfId="0" applyFont="1" applyFill="1" applyAlignment="1">
      <alignment horizontal="center" shrinkToFit="1"/>
    </xf>
    <xf numFmtId="0" fontId="12" fillId="23" borderId="0" xfId="0" applyFont="1" applyFill="1" applyAlignment="1">
      <alignment horizontal="center" shrinkToFit="1"/>
    </xf>
    <xf numFmtId="0" fontId="12" fillId="19" borderId="0" xfId="0" applyFont="1" applyFill="1" applyAlignment="1">
      <alignment horizontal="center" shrinkToFit="1"/>
    </xf>
  </cellXfs>
  <cellStyles count="800">
    <cellStyle name="Currency" xfId="22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Normal" xfId="0" builtinId="0"/>
    <cellStyle name="Percent" xfId="4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Calories (cumulative)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'Diet plan'!$AD$3:$AD$10</c:f>
              <c:numCache>
                <c:formatCode>0.00</c:formatCode>
                <c:ptCount val="8"/>
                <c:pt idx="0">
                  <c:v>0.0</c:v>
                </c:pt>
                <c:pt idx="1">
                  <c:v>2.5</c:v>
                </c:pt>
                <c:pt idx="2">
                  <c:v>3.5</c:v>
                </c:pt>
                <c:pt idx="3">
                  <c:v>5.5</c:v>
                </c:pt>
                <c:pt idx="4">
                  <c:v>7.0</c:v>
                </c:pt>
                <c:pt idx="5">
                  <c:v>9.5</c:v>
                </c:pt>
                <c:pt idx="6">
                  <c:v>12.0</c:v>
                </c:pt>
                <c:pt idx="7">
                  <c:v>14.5</c:v>
                </c:pt>
              </c:numCache>
            </c:numRef>
          </c:xVal>
          <c:yVal>
            <c:numRef>
              <c:f>'Diet plan'!$AP$3:$AP$10</c:f>
              <c:numCache>
                <c:formatCode>0.00</c:formatCode>
                <c:ptCount val="8"/>
                <c:pt idx="0">
                  <c:v>535.6337095346048</c:v>
                </c:pt>
                <c:pt idx="1">
                  <c:v>1080.673709534605</c:v>
                </c:pt>
                <c:pt idx="2">
                  <c:v>1265.673709534605</c:v>
                </c:pt>
                <c:pt idx="3">
                  <c:v>1755.673709534605</c:v>
                </c:pt>
                <c:pt idx="4">
                  <c:v>2210.713709534605</c:v>
                </c:pt>
                <c:pt idx="5">
                  <c:v>2638.873709534604</c:v>
                </c:pt>
                <c:pt idx="6">
                  <c:v>3154.393709534604</c:v>
                </c:pt>
                <c:pt idx="7">
                  <c:v>3514.393709534604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32440"/>
        <c:axId val="563065464"/>
      </c:scatterChart>
      <c:valAx>
        <c:axId val="562532440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563065464"/>
        <c:crosses val="autoZero"/>
        <c:crossBetween val="midCat"/>
      </c:valAx>
      <c:valAx>
        <c:axId val="56306546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6253244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Protein / hour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'Diet plan'!$AD$4:$AD$10</c:f>
              <c:numCache>
                <c:formatCode>0.00</c:formatCode>
                <c:ptCount val="7"/>
                <c:pt idx="0">
                  <c:v>2.5</c:v>
                </c:pt>
                <c:pt idx="1">
                  <c:v>3.5</c:v>
                </c:pt>
                <c:pt idx="2">
                  <c:v>5.5</c:v>
                </c:pt>
                <c:pt idx="3">
                  <c:v>7.0</c:v>
                </c:pt>
                <c:pt idx="4">
                  <c:v>9.5</c:v>
                </c:pt>
                <c:pt idx="5">
                  <c:v>12.0</c:v>
                </c:pt>
                <c:pt idx="6">
                  <c:v>14.5</c:v>
                </c:pt>
              </c:numCache>
            </c:numRef>
          </c:xVal>
          <c:yVal>
            <c:numRef>
              <c:f>'Diet plan'!$AK$4:$AK$10</c:f>
              <c:numCache>
                <c:formatCode>0.00</c:formatCode>
                <c:ptCount val="7"/>
                <c:pt idx="0">
                  <c:v>20.184</c:v>
                </c:pt>
                <c:pt idx="1">
                  <c:v>7.000000000000006</c:v>
                </c:pt>
                <c:pt idx="2">
                  <c:v>25.99999999999999</c:v>
                </c:pt>
                <c:pt idx="3">
                  <c:v>31.98666666666667</c:v>
                </c:pt>
                <c:pt idx="4">
                  <c:v>18.94400000000001</c:v>
                </c:pt>
                <c:pt idx="5">
                  <c:v>17.71999999999998</c:v>
                </c:pt>
                <c:pt idx="6">
                  <c:v>19.20000000000001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431256"/>
        <c:axId val="562434280"/>
      </c:scatterChart>
      <c:valAx>
        <c:axId val="562431256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562434280"/>
        <c:crosses val="autoZero"/>
        <c:crossBetween val="midCat"/>
      </c:valAx>
      <c:valAx>
        <c:axId val="56243428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6243125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Fat (cumulative)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'Diet plan'!$AD$3:$AD$10</c:f>
              <c:numCache>
                <c:formatCode>0.00</c:formatCode>
                <c:ptCount val="8"/>
                <c:pt idx="0">
                  <c:v>0.0</c:v>
                </c:pt>
                <c:pt idx="1">
                  <c:v>2.5</c:v>
                </c:pt>
                <c:pt idx="2">
                  <c:v>3.5</c:v>
                </c:pt>
                <c:pt idx="3">
                  <c:v>5.5</c:v>
                </c:pt>
                <c:pt idx="4">
                  <c:v>7.0</c:v>
                </c:pt>
                <c:pt idx="5">
                  <c:v>9.5</c:v>
                </c:pt>
                <c:pt idx="6">
                  <c:v>12.0</c:v>
                </c:pt>
                <c:pt idx="7">
                  <c:v>14.5</c:v>
                </c:pt>
              </c:numCache>
            </c:numRef>
          </c:xVal>
          <c:yVal>
            <c:numRef>
              <c:f>'Diet plan'!$AM$3:$AM$10</c:f>
              <c:numCache>
                <c:formatCode>0.00</c:formatCode>
                <c:ptCount val="8"/>
                <c:pt idx="0">
                  <c:v>13.37174656578262</c:v>
                </c:pt>
                <c:pt idx="1">
                  <c:v>31.75674656578262</c:v>
                </c:pt>
                <c:pt idx="2">
                  <c:v>31.75674656578262</c:v>
                </c:pt>
                <c:pt idx="3">
                  <c:v>33.75674656578262</c:v>
                </c:pt>
                <c:pt idx="4">
                  <c:v>38.48674656578262</c:v>
                </c:pt>
                <c:pt idx="5">
                  <c:v>42.99674656578262</c:v>
                </c:pt>
                <c:pt idx="6">
                  <c:v>65.59674656578261</c:v>
                </c:pt>
                <c:pt idx="7">
                  <c:v>81.59674656578261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649720"/>
        <c:axId val="562652680"/>
      </c:scatterChart>
      <c:valAx>
        <c:axId val="562649720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562652680"/>
        <c:crosses val="autoZero"/>
        <c:crossBetween val="midCat"/>
      </c:valAx>
      <c:valAx>
        <c:axId val="56265268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6264972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Protein (cumulative)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'Diet plan'!$AD$3:$AD$10</c:f>
              <c:numCache>
                <c:formatCode>0.00</c:formatCode>
                <c:ptCount val="8"/>
                <c:pt idx="0">
                  <c:v>0.0</c:v>
                </c:pt>
                <c:pt idx="1">
                  <c:v>2.5</c:v>
                </c:pt>
                <c:pt idx="2">
                  <c:v>3.5</c:v>
                </c:pt>
                <c:pt idx="3">
                  <c:v>5.5</c:v>
                </c:pt>
                <c:pt idx="4">
                  <c:v>7.0</c:v>
                </c:pt>
                <c:pt idx="5">
                  <c:v>9.5</c:v>
                </c:pt>
                <c:pt idx="6">
                  <c:v>12.0</c:v>
                </c:pt>
                <c:pt idx="7">
                  <c:v>14.5</c:v>
                </c:pt>
              </c:numCache>
            </c:numRef>
          </c:xVal>
          <c:yVal>
            <c:numRef>
              <c:f>'Diet plan'!$AO$3:$AO$10</c:f>
              <c:numCache>
                <c:formatCode>0.00</c:formatCode>
                <c:ptCount val="8"/>
                <c:pt idx="0">
                  <c:v>47.1035431306427</c:v>
                </c:pt>
                <c:pt idx="1">
                  <c:v>97.5635431306427</c:v>
                </c:pt>
                <c:pt idx="2">
                  <c:v>104.5635431306427</c:v>
                </c:pt>
                <c:pt idx="3">
                  <c:v>156.5635431306427</c:v>
                </c:pt>
                <c:pt idx="4">
                  <c:v>204.5435431306427</c:v>
                </c:pt>
                <c:pt idx="5">
                  <c:v>251.9035431306427</c:v>
                </c:pt>
                <c:pt idx="6">
                  <c:v>296.2035431306427</c:v>
                </c:pt>
                <c:pt idx="7">
                  <c:v>344.2035431306427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19304"/>
        <c:axId val="562877752"/>
      </c:scatterChart>
      <c:valAx>
        <c:axId val="562819304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562877752"/>
        <c:crosses val="autoZero"/>
        <c:crossBetween val="midCat"/>
      </c:valAx>
      <c:valAx>
        <c:axId val="56287775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6281930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Calories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'Diet plan'!$AD$3:$AD$10</c:f>
              <c:numCache>
                <c:formatCode>0.00</c:formatCode>
                <c:ptCount val="8"/>
                <c:pt idx="0">
                  <c:v>0.0</c:v>
                </c:pt>
                <c:pt idx="1">
                  <c:v>2.5</c:v>
                </c:pt>
                <c:pt idx="2">
                  <c:v>3.5</c:v>
                </c:pt>
                <c:pt idx="3">
                  <c:v>5.5</c:v>
                </c:pt>
                <c:pt idx="4">
                  <c:v>7.0</c:v>
                </c:pt>
                <c:pt idx="5">
                  <c:v>9.5</c:v>
                </c:pt>
                <c:pt idx="6">
                  <c:v>12.0</c:v>
                </c:pt>
                <c:pt idx="7">
                  <c:v>14.5</c:v>
                </c:pt>
              </c:numCache>
            </c:numRef>
          </c:cat>
          <c:val>
            <c:numRef>
              <c:f>'Diet plan'!$AH$3:$AH$10</c:f>
              <c:numCache>
                <c:formatCode>0.00</c:formatCode>
                <c:ptCount val="8"/>
                <c:pt idx="0">
                  <c:v>535.6337095346048</c:v>
                </c:pt>
                <c:pt idx="1">
                  <c:v>545.04</c:v>
                </c:pt>
                <c:pt idx="2">
                  <c:v>185.0</c:v>
                </c:pt>
                <c:pt idx="3">
                  <c:v>490.0</c:v>
                </c:pt>
                <c:pt idx="4">
                  <c:v>455.04</c:v>
                </c:pt>
                <c:pt idx="5">
                  <c:v>428.16</c:v>
                </c:pt>
                <c:pt idx="6">
                  <c:v>515.52</c:v>
                </c:pt>
                <c:pt idx="7">
                  <c:v>360.0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590664"/>
        <c:axId val="562303896"/>
      </c:barChart>
      <c:catAx>
        <c:axId val="566590664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562303896"/>
        <c:crosses val="autoZero"/>
        <c:auto val="1"/>
        <c:lblAlgn val="ctr"/>
        <c:lblOffset val="100"/>
        <c:noMultiLvlLbl val="1"/>
      </c:catAx>
      <c:valAx>
        <c:axId val="56230389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66590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Calories / hour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'Diet plan'!$AD$4:$AD$10</c:f>
              <c:numCache>
                <c:formatCode>0.00</c:formatCode>
                <c:ptCount val="7"/>
                <c:pt idx="0">
                  <c:v>2.5</c:v>
                </c:pt>
                <c:pt idx="1">
                  <c:v>3.5</c:v>
                </c:pt>
                <c:pt idx="2">
                  <c:v>5.5</c:v>
                </c:pt>
                <c:pt idx="3">
                  <c:v>7.0</c:v>
                </c:pt>
                <c:pt idx="4">
                  <c:v>9.5</c:v>
                </c:pt>
                <c:pt idx="5">
                  <c:v>12.0</c:v>
                </c:pt>
                <c:pt idx="6">
                  <c:v>14.5</c:v>
                </c:pt>
              </c:numCache>
            </c:numRef>
          </c:xVal>
          <c:yVal>
            <c:numRef>
              <c:f>'Diet plan'!$AL$4:$AL$10</c:f>
              <c:numCache>
                <c:formatCode>0.00</c:formatCode>
                <c:ptCount val="7"/>
                <c:pt idx="0">
                  <c:v>218.0159999999999</c:v>
                </c:pt>
                <c:pt idx="1">
                  <c:v>185.0000000000002</c:v>
                </c:pt>
                <c:pt idx="2">
                  <c:v>244.9999999999999</c:v>
                </c:pt>
                <c:pt idx="3">
                  <c:v>303.36</c:v>
                </c:pt>
                <c:pt idx="4">
                  <c:v>171.264</c:v>
                </c:pt>
                <c:pt idx="5">
                  <c:v>206.2079999999999</c:v>
                </c:pt>
                <c:pt idx="6">
                  <c:v>144.0000000000001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664104"/>
        <c:axId val="562843832"/>
      </c:scatterChart>
      <c:valAx>
        <c:axId val="562664104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562843832"/>
        <c:crosses val="autoZero"/>
        <c:crossBetween val="midCat"/>
      </c:valAx>
      <c:valAx>
        <c:axId val="56284383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6266410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'Diet plan'!$AD$3:$AD$10</c:f>
              <c:numCache>
                <c:formatCode>0.00</c:formatCode>
                <c:ptCount val="8"/>
                <c:pt idx="0">
                  <c:v>0.0</c:v>
                </c:pt>
                <c:pt idx="1">
                  <c:v>2.5</c:v>
                </c:pt>
                <c:pt idx="2">
                  <c:v>3.5</c:v>
                </c:pt>
                <c:pt idx="3">
                  <c:v>5.5</c:v>
                </c:pt>
                <c:pt idx="4">
                  <c:v>7.0</c:v>
                </c:pt>
                <c:pt idx="5">
                  <c:v>9.5</c:v>
                </c:pt>
                <c:pt idx="6">
                  <c:v>12.0</c:v>
                </c:pt>
                <c:pt idx="7">
                  <c:v>14.5</c:v>
                </c:pt>
              </c:numCache>
            </c:numRef>
          </c:cat>
          <c:val>
            <c:numRef>
              <c:f>'Diet plan'!$AF$3:$AF$10</c:f>
              <c:numCache>
                <c:formatCode>0.00</c:formatCode>
                <c:ptCount val="8"/>
                <c:pt idx="0">
                  <c:v>49.58353437067132</c:v>
                </c:pt>
                <c:pt idx="1">
                  <c:v>44.4</c:v>
                </c:pt>
                <c:pt idx="2">
                  <c:v>39.0</c:v>
                </c:pt>
                <c:pt idx="3">
                  <c:v>63.3</c:v>
                </c:pt>
                <c:pt idx="4">
                  <c:v>56.52</c:v>
                </c:pt>
                <c:pt idx="5">
                  <c:v>50.97</c:v>
                </c:pt>
                <c:pt idx="6">
                  <c:v>34.32</c:v>
                </c:pt>
                <c:pt idx="7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293864"/>
        <c:axId val="536931112"/>
      </c:barChart>
      <c:catAx>
        <c:axId val="562293864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536931112"/>
        <c:crosses val="autoZero"/>
        <c:auto val="1"/>
        <c:lblAlgn val="ctr"/>
        <c:lblOffset val="100"/>
        <c:noMultiLvlLbl val="1"/>
      </c:catAx>
      <c:valAx>
        <c:axId val="53693111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62293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Carbs / hour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'Diet plan'!$AD$4:$AD$10</c:f>
              <c:numCache>
                <c:formatCode>0.00</c:formatCode>
                <c:ptCount val="7"/>
                <c:pt idx="0">
                  <c:v>2.5</c:v>
                </c:pt>
                <c:pt idx="1">
                  <c:v>3.5</c:v>
                </c:pt>
                <c:pt idx="2">
                  <c:v>5.5</c:v>
                </c:pt>
                <c:pt idx="3">
                  <c:v>7.0</c:v>
                </c:pt>
                <c:pt idx="4">
                  <c:v>9.5</c:v>
                </c:pt>
                <c:pt idx="5">
                  <c:v>12.0</c:v>
                </c:pt>
                <c:pt idx="6">
                  <c:v>14.5</c:v>
                </c:pt>
              </c:numCache>
            </c:numRef>
          </c:xVal>
          <c:yVal>
            <c:numRef>
              <c:f>'Diet plan'!$AJ$4:$AJ$10</c:f>
              <c:numCache>
                <c:formatCode>0.00</c:formatCode>
                <c:ptCount val="7"/>
                <c:pt idx="0">
                  <c:v>17.76</c:v>
                </c:pt>
                <c:pt idx="1">
                  <c:v>39.00000000000004</c:v>
                </c:pt>
                <c:pt idx="2">
                  <c:v>31.64999999999998</c:v>
                </c:pt>
                <c:pt idx="3">
                  <c:v>37.68</c:v>
                </c:pt>
                <c:pt idx="4">
                  <c:v>20.38800000000001</c:v>
                </c:pt>
                <c:pt idx="5">
                  <c:v>13.728</c:v>
                </c:pt>
                <c:pt idx="6">
                  <c:v>2.400000000000001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223016"/>
        <c:axId val="2950088"/>
      </c:scatterChart>
      <c:valAx>
        <c:axId val="562223016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2950088"/>
        <c:crosses val="autoZero"/>
        <c:crossBetween val="midCat"/>
      </c:valAx>
      <c:valAx>
        <c:axId val="295008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622230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Carbs (cumulative)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'Diet plan'!$AD$3:$AD$10</c:f>
              <c:numCache>
                <c:formatCode>0.00</c:formatCode>
                <c:ptCount val="8"/>
                <c:pt idx="0">
                  <c:v>0.0</c:v>
                </c:pt>
                <c:pt idx="1">
                  <c:v>2.5</c:v>
                </c:pt>
                <c:pt idx="2">
                  <c:v>3.5</c:v>
                </c:pt>
                <c:pt idx="3">
                  <c:v>5.5</c:v>
                </c:pt>
                <c:pt idx="4">
                  <c:v>7.0</c:v>
                </c:pt>
                <c:pt idx="5">
                  <c:v>9.5</c:v>
                </c:pt>
                <c:pt idx="6">
                  <c:v>12.0</c:v>
                </c:pt>
                <c:pt idx="7">
                  <c:v>14.5</c:v>
                </c:pt>
              </c:numCache>
            </c:numRef>
          </c:xVal>
          <c:yVal>
            <c:numRef>
              <c:f>'Diet plan'!$AN$3:$AN$10</c:f>
              <c:numCache>
                <c:formatCode>0.00</c:formatCode>
                <c:ptCount val="8"/>
                <c:pt idx="0">
                  <c:v>49.58353437067132</c:v>
                </c:pt>
                <c:pt idx="1">
                  <c:v>93.98353437067132</c:v>
                </c:pt>
                <c:pt idx="2">
                  <c:v>132.9835343706713</c:v>
                </c:pt>
                <c:pt idx="3">
                  <c:v>196.2835343706713</c:v>
                </c:pt>
                <c:pt idx="4">
                  <c:v>252.8035343706713</c:v>
                </c:pt>
                <c:pt idx="5">
                  <c:v>303.7735343706713</c:v>
                </c:pt>
                <c:pt idx="6">
                  <c:v>338.0935343706713</c:v>
                </c:pt>
                <c:pt idx="7">
                  <c:v>344.0935343706713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39880"/>
        <c:axId val="562517944"/>
      </c:scatterChart>
      <c:valAx>
        <c:axId val="562839880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562517944"/>
        <c:crosses val="autoZero"/>
        <c:crossBetween val="midCat"/>
      </c:valAx>
      <c:valAx>
        <c:axId val="56251794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6283988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'Diet plan'!$AD$3:$AD$10</c:f>
              <c:numCache>
                <c:formatCode>0.00</c:formatCode>
                <c:ptCount val="8"/>
                <c:pt idx="0">
                  <c:v>0.0</c:v>
                </c:pt>
                <c:pt idx="1">
                  <c:v>2.5</c:v>
                </c:pt>
                <c:pt idx="2">
                  <c:v>3.5</c:v>
                </c:pt>
                <c:pt idx="3">
                  <c:v>5.5</c:v>
                </c:pt>
                <c:pt idx="4">
                  <c:v>7.0</c:v>
                </c:pt>
                <c:pt idx="5">
                  <c:v>9.5</c:v>
                </c:pt>
                <c:pt idx="6">
                  <c:v>12.0</c:v>
                </c:pt>
                <c:pt idx="7">
                  <c:v>14.5</c:v>
                </c:pt>
              </c:numCache>
            </c:numRef>
          </c:cat>
          <c:val>
            <c:numRef>
              <c:f>'Diet plan'!$AE$3:$AE$10</c:f>
              <c:numCache>
                <c:formatCode>0.00</c:formatCode>
                <c:ptCount val="8"/>
                <c:pt idx="0">
                  <c:v>13.37174656578262</c:v>
                </c:pt>
                <c:pt idx="1">
                  <c:v>18.385</c:v>
                </c:pt>
                <c:pt idx="2">
                  <c:v>0.0</c:v>
                </c:pt>
                <c:pt idx="3">
                  <c:v>2.0</c:v>
                </c:pt>
                <c:pt idx="4">
                  <c:v>4.729999999999999</c:v>
                </c:pt>
                <c:pt idx="5">
                  <c:v>4.51</c:v>
                </c:pt>
                <c:pt idx="6">
                  <c:v>22.6</c:v>
                </c:pt>
                <c:pt idx="7">
                  <c:v>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214664"/>
        <c:axId val="562477128"/>
      </c:barChart>
      <c:catAx>
        <c:axId val="567214664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562477128"/>
        <c:crosses val="autoZero"/>
        <c:auto val="1"/>
        <c:lblAlgn val="ctr"/>
        <c:lblOffset val="100"/>
        <c:noMultiLvlLbl val="1"/>
      </c:catAx>
      <c:valAx>
        <c:axId val="56247712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67214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Protein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'Diet plan'!$AD$3:$AD$10</c:f>
              <c:numCache>
                <c:formatCode>0.00</c:formatCode>
                <c:ptCount val="8"/>
                <c:pt idx="0">
                  <c:v>0.0</c:v>
                </c:pt>
                <c:pt idx="1">
                  <c:v>2.5</c:v>
                </c:pt>
                <c:pt idx="2">
                  <c:v>3.5</c:v>
                </c:pt>
                <c:pt idx="3">
                  <c:v>5.5</c:v>
                </c:pt>
                <c:pt idx="4">
                  <c:v>7.0</c:v>
                </c:pt>
                <c:pt idx="5">
                  <c:v>9.5</c:v>
                </c:pt>
                <c:pt idx="6">
                  <c:v>12.0</c:v>
                </c:pt>
                <c:pt idx="7">
                  <c:v>14.5</c:v>
                </c:pt>
              </c:numCache>
            </c:numRef>
          </c:cat>
          <c:val>
            <c:numRef>
              <c:f>'Diet plan'!$AG$3:$AG$10</c:f>
              <c:numCache>
                <c:formatCode>0.00</c:formatCode>
                <c:ptCount val="8"/>
                <c:pt idx="0">
                  <c:v>47.1035431306427</c:v>
                </c:pt>
                <c:pt idx="1">
                  <c:v>50.46</c:v>
                </c:pt>
                <c:pt idx="2">
                  <c:v>7.0</c:v>
                </c:pt>
                <c:pt idx="3">
                  <c:v>52.0</c:v>
                </c:pt>
                <c:pt idx="4">
                  <c:v>47.98</c:v>
                </c:pt>
                <c:pt idx="5">
                  <c:v>47.36000000000001</c:v>
                </c:pt>
                <c:pt idx="6">
                  <c:v>44.3</c:v>
                </c:pt>
                <c:pt idx="7">
                  <c:v>48.0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652760"/>
        <c:axId val="562972584"/>
      </c:barChart>
      <c:catAx>
        <c:axId val="548652760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562972584"/>
        <c:crosses val="autoZero"/>
        <c:auto val="1"/>
        <c:lblAlgn val="ctr"/>
        <c:lblOffset val="100"/>
        <c:noMultiLvlLbl val="1"/>
      </c:catAx>
      <c:valAx>
        <c:axId val="56297258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48652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Fat / hour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'Diet plan'!$AD$4:$AD$10</c:f>
              <c:numCache>
                <c:formatCode>0.00</c:formatCode>
                <c:ptCount val="7"/>
                <c:pt idx="0">
                  <c:v>2.5</c:v>
                </c:pt>
                <c:pt idx="1">
                  <c:v>3.5</c:v>
                </c:pt>
                <c:pt idx="2">
                  <c:v>5.5</c:v>
                </c:pt>
                <c:pt idx="3">
                  <c:v>7.0</c:v>
                </c:pt>
                <c:pt idx="4">
                  <c:v>9.5</c:v>
                </c:pt>
                <c:pt idx="5">
                  <c:v>12.0</c:v>
                </c:pt>
                <c:pt idx="6">
                  <c:v>14.5</c:v>
                </c:pt>
              </c:numCache>
            </c:numRef>
          </c:xVal>
          <c:yVal>
            <c:numRef>
              <c:f>'Diet plan'!$AI$4:$AI$10</c:f>
              <c:numCache>
                <c:formatCode>0.00</c:formatCode>
                <c:ptCount val="7"/>
                <c:pt idx="0">
                  <c:v>7.353999999999998</c:v>
                </c:pt>
                <c:pt idx="1">
                  <c:v>0.0</c:v>
                </c:pt>
                <c:pt idx="2">
                  <c:v>1</c:v>
                </c:pt>
                <c:pt idx="3">
                  <c:v>3.153333333333333</c:v>
                </c:pt>
                <c:pt idx="4">
                  <c:v>1.804</c:v>
                </c:pt>
                <c:pt idx="5">
                  <c:v>9.03999999999999</c:v>
                </c:pt>
                <c:pt idx="6">
                  <c:v>6.400000000000002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234216"/>
        <c:axId val="562479368"/>
      </c:scatterChart>
      <c:valAx>
        <c:axId val="537234216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crossAx val="562479368"/>
        <c:crosses val="autoZero"/>
        <c:crossBetween val="midCat"/>
      </c:valAx>
      <c:valAx>
        <c:axId val="56247936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372342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12700</xdr:colOff>
      <xdr:row>11</xdr:row>
      <xdr:rowOff>6350</xdr:rowOff>
    </xdr:from>
    <xdr:to>
      <xdr:col>48</xdr:col>
      <xdr:colOff>76200</xdr:colOff>
      <xdr:row>24</xdr:row>
      <xdr:rowOff>107950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12700</xdr:colOff>
      <xdr:row>11</xdr:row>
      <xdr:rowOff>6350</xdr:rowOff>
    </xdr:from>
    <xdr:to>
      <xdr:col>33</xdr:col>
      <xdr:colOff>609600</xdr:colOff>
      <xdr:row>24</xdr:row>
      <xdr:rowOff>107950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12700</xdr:colOff>
      <xdr:row>11</xdr:row>
      <xdr:rowOff>6350</xdr:rowOff>
    </xdr:from>
    <xdr:to>
      <xdr:col>40</xdr:col>
      <xdr:colOff>596900</xdr:colOff>
      <xdr:row>24</xdr:row>
      <xdr:rowOff>107950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12700</xdr:colOff>
      <xdr:row>26</xdr:row>
      <xdr:rowOff>6350</xdr:rowOff>
    </xdr:from>
    <xdr:to>
      <xdr:col>33</xdr:col>
      <xdr:colOff>609600</xdr:colOff>
      <xdr:row>39</xdr:row>
      <xdr:rowOff>107950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12700</xdr:colOff>
      <xdr:row>26</xdr:row>
      <xdr:rowOff>6350</xdr:rowOff>
    </xdr:from>
    <xdr:to>
      <xdr:col>40</xdr:col>
      <xdr:colOff>596900</xdr:colOff>
      <xdr:row>39</xdr:row>
      <xdr:rowOff>107950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12700</xdr:colOff>
      <xdr:row>26</xdr:row>
      <xdr:rowOff>6350</xdr:rowOff>
    </xdr:from>
    <xdr:to>
      <xdr:col>48</xdr:col>
      <xdr:colOff>76200</xdr:colOff>
      <xdr:row>39</xdr:row>
      <xdr:rowOff>107950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12700</xdr:colOff>
      <xdr:row>41</xdr:row>
      <xdr:rowOff>6350</xdr:rowOff>
    </xdr:from>
    <xdr:to>
      <xdr:col>33</xdr:col>
      <xdr:colOff>609600</xdr:colOff>
      <xdr:row>54</xdr:row>
      <xdr:rowOff>107950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12700</xdr:colOff>
      <xdr:row>56</xdr:row>
      <xdr:rowOff>6350</xdr:rowOff>
    </xdr:from>
    <xdr:to>
      <xdr:col>33</xdr:col>
      <xdr:colOff>609600</xdr:colOff>
      <xdr:row>69</xdr:row>
      <xdr:rowOff>107950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12700</xdr:colOff>
      <xdr:row>41</xdr:row>
      <xdr:rowOff>6350</xdr:rowOff>
    </xdr:from>
    <xdr:to>
      <xdr:col>40</xdr:col>
      <xdr:colOff>596900</xdr:colOff>
      <xdr:row>54</xdr:row>
      <xdr:rowOff>107950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12700</xdr:colOff>
      <xdr:row>56</xdr:row>
      <xdr:rowOff>6350</xdr:rowOff>
    </xdr:from>
    <xdr:to>
      <xdr:col>40</xdr:col>
      <xdr:colOff>596900</xdr:colOff>
      <xdr:row>69</xdr:row>
      <xdr:rowOff>107950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42</xdr:col>
      <xdr:colOff>12700</xdr:colOff>
      <xdr:row>41</xdr:row>
      <xdr:rowOff>6350</xdr:rowOff>
    </xdr:from>
    <xdr:to>
      <xdr:col>48</xdr:col>
      <xdr:colOff>76200</xdr:colOff>
      <xdr:row>54</xdr:row>
      <xdr:rowOff>107950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12700</xdr:colOff>
      <xdr:row>56</xdr:row>
      <xdr:rowOff>6350</xdr:rowOff>
    </xdr:from>
    <xdr:to>
      <xdr:col>48</xdr:col>
      <xdr:colOff>76200</xdr:colOff>
      <xdr:row>69</xdr:row>
      <xdr:rowOff>107950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8"/>
  <sheetViews>
    <sheetView tabSelected="1" topLeftCell="W1" workbookViewId="0">
      <selection activeCell="AA13" sqref="AA13"/>
    </sheetView>
  </sheetViews>
  <sheetFormatPr baseColWidth="10" defaultRowHeight="16" x14ac:dyDescent="0"/>
  <cols>
    <col min="1" max="1" width="20.1640625" style="2" customWidth="1"/>
    <col min="2" max="2" width="11.1640625" style="3" customWidth="1"/>
    <col min="3" max="3" width="8.33203125" style="2" bestFit="1" customWidth="1"/>
    <col min="4" max="4" width="7" style="2" bestFit="1" customWidth="1"/>
    <col min="5" max="5" width="9.6640625" style="2" bestFit="1" customWidth="1"/>
    <col min="6" max="6" width="10.5" style="2" bestFit="1" customWidth="1"/>
    <col min="7" max="7" width="8.5" style="2" bestFit="1" customWidth="1"/>
    <col min="8" max="8" width="6.1640625" style="2" bestFit="1" customWidth="1"/>
    <col min="9" max="9" width="10.83203125" style="2" customWidth="1"/>
    <col min="10" max="10" width="16.1640625" style="2" bestFit="1" customWidth="1"/>
    <col min="11" max="11" width="4.6640625" style="34" bestFit="1" customWidth="1"/>
    <col min="12" max="12" width="7" style="34" bestFit="1" customWidth="1"/>
    <col min="13" max="13" width="9.6640625" style="34" bestFit="1" customWidth="1"/>
    <col min="14" max="14" width="10.5" style="34" bestFit="1" customWidth="1"/>
    <col min="15" max="15" width="8.5" style="34" bestFit="1" customWidth="1"/>
    <col min="16" max="16" width="5.1640625" style="34" bestFit="1" customWidth="1"/>
    <col min="17" max="17" width="7.83203125" style="117" bestFit="1" customWidth="1"/>
    <col min="18" max="18" width="10.6640625" style="106" customWidth="1"/>
    <col min="19" max="19" width="12.83203125" style="2" bestFit="1" customWidth="1"/>
    <col min="20" max="20" width="5.6640625" style="2" customWidth="1"/>
    <col min="21" max="21" width="7.83203125" style="2" bestFit="1" customWidth="1"/>
    <col min="22" max="22" width="9.6640625" style="2" bestFit="1" customWidth="1"/>
    <col min="23" max="23" width="10.5" style="2" bestFit="1" customWidth="1"/>
    <col min="24" max="24" width="17.33203125" style="2" bestFit="1" customWidth="1"/>
    <col min="25" max="25" width="9.1640625" style="2" bestFit="1" customWidth="1"/>
    <col min="26" max="26" width="6.5" style="2" bestFit="1" customWidth="1"/>
    <col min="27" max="27" width="17.33203125" style="2" bestFit="1" customWidth="1"/>
    <col min="28" max="28" width="9.1640625" style="2" bestFit="1" customWidth="1"/>
    <col min="29" max="29" width="7.83203125" style="2" bestFit="1" customWidth="1"/>
    <col min="30" max="30" width="12.83203125" style="2" bestFit="1" customWidth="1"/>
    <col min="31" max="31" width="6.5" style="2" bestFit="1" customWidth="1"/>
    <col min="32" max="32" width="7.33203125" style="2" bestFit="1" customWidth="1"/>
    <col min="33" max="33" width="8.5" style="2" bestFit="1" customWidth="1"/>
    <col min="34" max="34" width="14.83203125" style="2" bestFit="1" customWidth="1"/>
    <col min="35" max="35" width="6.5" style="2" bestFit="1" customWidth="1"/>
    <col min="36" max="36" width="7.33203125" style="2" bestFit="1" customWidth="1"/>
    <col min="37" max="37" width="8.5" style="2" bestFit="1" customWidth="1"/>
    <col min="38" max="38" width="15.83203125" style="2" bestFit="1" customWidth="1"/>
    <col min="39" max="39" width="6.83203125" style="2" bestFit="1" customWidth="1"/>
    <col min="40" max="40" width="7.33203125" style="2" bestFit="1" customWidth="1"/>
    <col min="41" max="41" width="8.5" style="2" bestFit="1" customWidth="1"/>
    <col min="42" max="42" width="6.83203125" style="2" bestFit="1" customWidth="1"/>
    <col min="43" max="43" width="7.33203125" style="2" bestFit="1" customWidth="1"/>
    <col min="44" max="44" width="8.5" style="2" bestFit="1" customWidth="1"/>
    <col min="45" max="16384" width="10.83203125" style="2"/>
  </cols>
  <sheetData>
    <row r="1" spans="1:42" s="1" customFormat="1">
      <c r="A1" s="12" t="s">
        <v>34</v>
      </c>
      <c r="B1" s="13" t="s">
        <v>0</v>
      </c>
      <c r="C1" s="14" t="s">
        <v>30</v>
      </c>
      <c r="D1" s="14" t="s">
        <v>1</v>
      </c>
      <c r="E1" s="14" t="s">
        <v>3</v>
      </c>
      <c r="F1" s="14" t="s">
        <v>2</v>
      </c>
      <c r="G1" s="14" t="s">
        <v>4</v>
      </c>
      <c r="H1" s="14" t="s">
        <v>119</v>
      </c>
      <c r="I1" s="8"/>
      <c r="J1" s="37" t="s">
        <v>6</v>
      </c>
      <c r="K1" s="38" t="s">
        <v>77</v>
      </c>
      <c r="L1" s="38" t="s">
        <v>1</v>
      </c>
      <c r="M1" s="38" t="s">
        <v>3</v>
      </c>
      <c r="N1" s="38" t="s">
        <v>2</v>
      </c>
      <c r="O1" s="38" t="s">
        <v>4</v>
      </c>
      <c r="P1" s="38" t="s">
        <v>119</v>
      </c>
      <c r="Q1" s="117">
        <v>0.45833333333333331</v>
      </c>
      <c r="R1" s="105"/>
      <c r="S1" s="6" t="s">
        <v>33</v>
      </c>
      <c r="T1" s="7"/>
      <c r="U1" s="20" t="s">
        <v>4</v>
      </c>
      <c r="V1" s="20" t="s">
        <v>40</v>
      </c>
      <c r="X1" s="13" t="s">
        <v>135</v>
      </c>
      <c r="Y1" s="56"/>
      <c r="AB1" s="2"/>
      <c r="AC1" s="2"/>
      <c r="AD1" s="2"/>
      <c r="AE1" s="146" t="s">
        <v>258</v>
      </c>
      <c r="AF1" s="146"/>
      <c r="AG1" s="146"/>
      <c r="AH1" s="146"/>
      <c r="AI1" s="147" t="s">
        <v>257</v>
      </c>
      <c r="AJ1" s="147"/>
      <c r="AK1" s="147"/>
      <c r="AL1" s="147"/>
      <c r="AM1" s="148" t="s">
        <v>259</v>
      </c>
      <c r="AN1" s="148"/>
      <c r="AO1" s="148"/>
      <c r="AP1" s="148"/>
    </row>
    <row r="2" spans="1:42">
      <c r="A2" s="23" t="s">
        <v>50</v>
      </c>
      <c r="B2" s="24" t="s">
        <v>51</v>
      </c>
      <c r="C2" s="8" t="s">
        <v>57</v>
      </c>
      <c r="D2" s="21">
        <f>16/32</f>
        <v>0.5</v>
      </c>
      <c r="E2" s="21">
        <f>7/32</f>
        <v>0.21875</v>
      </c>
      <c r="F2" s="21">
        <f>6/32</f>
        <v>0.1875</v>
      </c>
      <c r="G2" s="21">
        <f>190/32</f>
        <v>5.9375</v>
      </c>
      <c r="H2" s="49">
        <f>0.76/28.3495231</f>
        <v>2.6808211105321909E-2</v>
      </c>
      <c r="I2" s="8"/>
      <c r="J2" s="9" t="s">
        <v>92</v>
      </c>
      <c r="K2" s="30">
        <v>10</v>
      </c>
      <c r="L2" s="31">
        <f t="shared" ref="L2:L8" si="0">IFERROR(VLOOKUP($J2,$A$2:$G$991,4,FALSE)*$K2,"--")</f>
        <v>0</v>
      </c>
      <c r="M2" s="31">
        <f t="shared" ref="M2:M8" si="1">IFERROR(VLOOKUP($J2,$A$2:$G$991,5,FALSE)*$K2,"--")</f>
        <v>0</v>
      </c>
      <c r="N2" s="31">
        <f t="shared" ref="N2:N8" si="2">IFERROR(VLOOKUP($J2,$A$2:$G$991,6,FALSE)*$K2,"--")</f>
        <v>30.814741772463947</v>
      </c>
      <c r="O2" s="31">
        <f t="shared" ref="O2:O8" si="3">IFERROR(VLOOKUP($J2,$A$2:$G$991,7,FALSE)*$K2,"--")</f>
        <v>154.07370886231971</v>
      </c>
      <c r="P2" s="31">
        <f t="shared" ref="P2:P8" si="4">IFERROR(VLOOKUP($J2,$A$2:$H$991,8,FALSE)*$K2,"--")</f>
        <v>1.3687499999999999</v>
      </c>
      <c r="S2" s="5" t="s">
        <v>1</v>
      </c>
      <c r="T2" s="16">
        <f>SUM(L9+L16+L24+L32+L39+L46+L53+L62)</f>
        <v>81.59674656578261</v>
      </c>
      <c r="U2" s="18">
        <f>T2*Y2</f>
        <v>741.07943821695483</v>
      </c>
      <c r="V2" s="145">
        <f>$U2/$U$5</f>
        <v>0.20948072039584165</v>
      </c>
      <c r="X2" s="23" t="s">
        <v>36</v>
      </c>
      <c r="Y2" s="57">
        <f>1/4.184*38</f>
        <v>9.0822179732313568</v>
      </c>
      <c r="AB2" s="136" t="s">
        <v>184</v>
      </c>
      <c r="AC2" s="137" t="s">
        <v>255</v>
      </c>
      <c r="AD2" s="137" t="s">
        <v>273</v>
      </c>
      <c r="AE2" s="142" t="s">
        <v>36</v>
      </c>
      <c r="AF2" s="142" t="s">
        <v>179</v>
      </c>
      <c r="AG2" s="142" t="s">
        <v>38</v>
      </c>
      <c r="AH2" s="142" t="s">
        <v>4</v>
      </c>
      <c r="AI2" s="143" t="s">
        <v>36</v>
      </c>
      <c r="AJ2" s="143" t="s">
        <v>179</v>
      </c>
      <c r="AK2" s="143" t="s">
        <v>38</v>
      </c>
      <c r="AL2" s="143" t="s">
        <v>4</v>
      </c>
      <c r="AM2" s="144" t="s">
        <v>36</v>
      </c>
      <c r="AN2" s="144" t="s">
        <v>179</v>
      </c>
      <c r="AO2" s="144" t="s">
        <v>38</v>
      </c>
      <c r="AP2" s="144" t="s">
        <v>4</v>
      </c>
    </row>
    <row r="3" spans="1:42">
      <c r="A3" s="23" t="s">
        <v>26</v>
      </c>
      <c r="B3" s="24" t="s">
        <v>8</v>
      </c>
      <c r="C3" s="8" t="s">
        <v>31</v>
      </c>
      <c r="D3" s="21">
        <v>14.37</v>
      </c>
      <c r="E3" s="21">
        <v>5.6</v>
      </c>
      <c r="F3" s="21">
        <v>6.03</v>
      </c>
      <c r="G3" s="21">
        <v>164</v>
      </c>
      <c r="H3" s="49">
        <f>5.99/14.5</f>
        <v>0.4131034482758621</v>
      </c>
      <c r="I3" s="8"/>
      <c r="J3" s="9" t="s">
        <v>22</v>
      </c>
      <c r="K3" s="30">
        <v>2</v>
      </c>
      <c r="L3" s="31">
        <f t="shared" si="0"/>
        <v>3.34</v>
      </c>
      <c r="M3" s="31">
        <f t="shared" si="1"/>
        <v>35.56</v>
      </c>
      <c r="N3" s="31">
        <f t="shared" si="2"/>
        <v>8.5</v>
      </c>
      <c r="O3" s="31">
        <f t="shared" si="3"/>
        <v>204</v>
      </c>
      <c r="P3" s="31">
        <f t="shared" si="4"/>
        <v>0.20904761904761904</v>
      </c>
      <c r="S3" s="5" t="s">
        <v>3</v>
      </c>
      <c r="T3" s="16">
        <f>SUM(M9+M16+M24+M32+M39+M46+M53+M62)</f>
        <v>344.09353437067131</v>
      </c>
      <c r="U3" s="18">
        <f>T3*Y3</f>
        <v>1398.0855842020583</v>
      </c>
      <c r="V3" s="145">
        <f>$U3/$U$5</f>
        <v>0.39519646646564832</v>
      </c>
      <c r="X3" s="23" t="s">
        <v>37</v>
      </c>
      <c r="Y3" s="57">
        <f>1/4.184*17</f>
        <v>4.0630975143403436</v>
      </c>
      <c r="AB3" s="135">
        <f>Q1</f>
        <v>0.45833333333333331</v>
      </c>
      <c r="AC3" s="134">
        <v>0</v>
      </c>
      <c r="AD3" s="134">
        <f>AC3</f>
        <v>0</v>
      </c>
      <c r="AE3" s="21">
        <f>L9</f>
        <v>13.371746565782619</v>
      </c>
      <c r="AF3" s="134">
        <f>M9</f>
        <v>49.583534370671316</v>
      </c>
      <c r="AG3" s="134">
        <f>N9</f>
        <v>47.103543130642699</v>
      </c>
      <c r="AH3" s="134">
        <f>O9</f>
        <v>535.6337095346048</v>
      </c>
      <c r="AI3" s="134"/>
      <c r="AJ3" s="134"/>
      <c r="AK3" s="134"/>
      <c r="AL3" s="134"/>
      <c r="AM3" s="21">
        <f>AE3</f>
        <v>13.371746565782619</v>
      </c>
      <c r="AN3" s="21">
        <f>AF3</f>
        <v>49.583534370671316</v>
      </c>
      <c r="AO3" s="21">
        <f>AG3</f>
        <v>47.103543130642699</v>
      </c>
      <c r="AP3" s="21">
        <f>AH3</f>
        <v>535.6337095346048</v>
      </c>
    </row>
    <row r="4" spans="1:42">
      <c r="A4" s="23" t="s">
        <v>41</v>
      </c>
      <c r="B4" s="24" t="s">
        <v>42</v>
      </c>
      <c r="C4" s="8" t="s">
        <v>31</v>
      </c>
      <c r="D4" s="21">
        <v>0.04</v>
      </c>
      <c r="E4" s="21">
        <v>3.59</v>
      </c>
      <c r="F4" s="21">
        <v>7.0000000000000007E-2</v>
      </c>
      <c r="G4" s="21">
        <v>13</v>
      </c>
      <c r="H4" s="49"/>
      <c r="I4" s="8"/>
      <c r="J4" s="9" t="s">
        <v>58</v>
      </c>
      <c r="K4" s="30">
        <v>1</v>
      </c>
      <c r="L4" s="31">
        <f t="shared" si="0"/>
        <v>3.1746565782618051E-2</v>
      </c>
      <c r="M4" s="31">
        <f t="shared" si="1"/>
        <v>0.7986024992427474</v>
      </c>
      <c r="N4" s="31">
        <f t="shared" si="2"/>
        <v>3.88013581787554E-2</v>
      </c>
      <c r="O4" s="31">
        <f t="shared" si="3"/>
        <v>2.6102731865708177</v>
      </c>
      <c r="P4" s="31">
        <f t="shared" si="4"/>
        <v>0.12416434617201727</v>
      </c>
      <c r="S4" s="5" t="s">
        <v>2</v>
      </c>
      <c r="T4" s="16">
        <f>SUM(N9+N16+N24+N32+N39+N46+N53+N62)</f>
        <v>344.20354313064274</v>
      </c>
      <c r="U4" s="18">
        <f>T4*Y4</f>
        <v>1398.5325605212538</v>
      </c>
      <c r="V4" s="145">
        <f>$U4/$U$5</f>
        <v>0.39532281313851009</v>
      </c>
      <c r="X4" s="23" t="s">
        <v>38</v>
      </c>
      <c r="Y4" s="57">
        <f>1/4.184*17</f>
        <v>4.0630975143403436</v>
      </c>
      <c r="AB4" s="135">
        <f>Q12</f>
        <v>0.5625</v>
      </c>
      <c r="AC4" s="134">
        <f t="shared" ref="AC4:AC10" si="5">IF(AB4-AB3 &gt; 0, (AB4-AB3)*24, (1-(AB3-AB4))*24)</f>
        <v>2.5000000000000004</v>
      </c>
      <c r="AD4" s="134">
        <f t="shared" ref="AD4:AD10" si="6">AC4+AD3</f>
        <v>2.5000000000000004</v>
      </c>
      <c r="AE4" s="21">
        <f>L16</f>
        <v>18.384999999999998</v>
      </c>
      <c r="AF4" s="134">
        <f>M16</f>
        <v>44.4</v>
      </c>
      <c r="AG4" s="134">
        <f>N16</f>
        <v>50.46</v>
      </c>
      <c r="AH4" s="134">
        <f>O16</f>
        <v>545.04</v>
      </c>
      <c r="AI4" s="134">
        <f t="shared" ref="AI4:AI10" si="7">AE4/AC4</f>
        <v>7.3539999999999983</v>
      </c>
      <c r="AJ4" s="134">
        <f t="shared" ref="AJ4:AJ10" si="8">AF4/AC4</f>
        <v>17.759999999999998</v>
      </c>
      <c r="AK4" s="134">
        <f t="shared" ref="AK4:AK10" si="9">AG4/AC4</f>
        <v>20.183999999999997</v>
      </c>
      <c r="AL4" s="134">
        <f t="shared" ref="AL4:AL10" si="10">AH4/AC4</f>
        <v>218.01599999999993</v>
      </c>
      <c r="AM4" s="21">
        <f>AE4+AM3</f>
        <v>31.756746565782617</v>
      </c>
      <c r="AN4" s="21">
        <f>AF4+AN3</f>
        <v>93.983534370671322</v>
      </c>
      <c r="AO4" s="21">
        <f>AG4+AO3</f>
        <v>97.563543130642699</v>
      </c>
      <c r="AP4" s="21">
        <f>AH4+AP3</f>
        <v>1080.6737095346048</v>
      </c>
    </row>
    <row r="5" spans="1:42">
      <c r="A5" s="23" t="s">
        <v>21</v>
      </c>
      <c r="B5" s="24" t="s">
        <v>5</v>
      </c>
      <c r="C5" s="8" t="s">
        <v>31</v>
      </c>
      <c r="D5" s="21">
        <v>0.03</v>
      </c>
      <c r="E5" s="21">
        <v>1.1000000000000001</v>
      </c>
      <c r="F5" s="21">
        <v>0.62</v>
      </c>
      <c r="G5" s="21">
        <v>6</v>
      </c>
      <c r="H5" s="49">
        <f>1.6/16</f>
        <v>0.1</v>
      </c>
      <c r="I5" s="8"/>
      <c r="J5" s="9" t="s">
        <v>99</v>
      </c>
      <c r="K5" s="30">
        <v>1</v>
      </c>
      <c r="L5" s="31">
        <f t="shared" si="0"/>
        <v>0</v>
      </c>
      <c r="M5" s="31">
        <f t="shared" si="1"/>
        <v>4.049931871428571</v>
      </c>
      <c r="N5" s="31">
        <f t="shared" si="2"/>
        <v>0</v>
      </c>
      <c r="O5" s="31">
        <f t="shared" si="3"/>
        <v>16.199727485714284</v>
      </c>
      <c r="P5" s="31">
        <f t="shared" si="4"/>
        <v>0.34343750000000001</v>
      </c>
      <c r="S5" s="5" t="s">
        <v>4</v>
      </c>
      <c r="T5" s="16">
        <f>SUM(O9+O16+O24+O32+O39+O46+O53+O62)</f>
        <v>3514.3937095346046</v>
      </c>
      <c r="U5" s="18">
        <f>SUM(U2:U4)</f>
        <v>3537.6975829402668</v>
      </c>
      <c r="V5" s="19"/>
      <c r="X5" s="23" t="s">
        <v>39</v>
      </c>
      <c r="Y5" s="57">
        <f>1/4.184*30</f>
        <v>7.1701720841300185</v>
      </c>
      <c r="AB5" s="135">
        <f>Q19</f>
        <v>0.60416666666666663</v>
      </c>
      <c r="AC5" s="134">
        <f t="shared" si="5"/>
        <v>0.99999999999999911</v>
      </c>
      <c r="AD5" s="134">
        <f t="shared" si="6"/>
        <v>3.4999999999999996</v>
      </c>
      <c r="AE5" s="21">
        <f>L24</f>
        <v>0</v>
      </c>
      <c r="AF5" s="134">
        <f>M24</f>
        <v>39</v>
      </c>
      <c r="AG5" s="134">
        <f>N24</f>
        <v>7</v>
      </c>
      <c r="AH5" s="134">
        <f>O24</f>
        <v>185</v>
      </c>
      <c r="AI5" s="134">
        <f t="shared" si="7"/>
        <v>0</v>
      </c>
      <c r="AJ5" s="134">
        <f t="shared" si="8"/>
        <v>39.000000000000036</v>
      </c>
      <c r="AK5" s="134">
        <f t="shared" si="9"/>
        <v>7.0000000000000062</v>
      </c>
      <c r="AL5" s="134">
        <f t="shared" si="10"/>
        <v>185.00000000000017</v>
      </c>
      <c r="AM5" s="21">
        <f t="shared" ref="AM5:AO6" si="11">AE5+AM4</f>
        <v>31.756746565782617</v>
      </c>
      <c r="AN5" s="21">
        <f t="shared" si="11"/>
        <v>132.98353437067132</v>
      </c>
      <c r="AO5" s="21">
        <f t="shared" si="11"/>
        <v>104.5635431306427</v>
      </c>
      <c r="AP5" s="21">
        <f t="shared" ref="AP5:AP10" si="12">AH5+AP4</f>
        <v>1265.6737095346048</v>
      </c>
    </row>
    <row r="6" spans="1:42">
      <c r="A6" s="23" t="s">
        <v>215</v>
      </c>
      <c r="B6" s="24" t="s">
        <v>216</v>
      </c>
      <c r="C6" s="8" t="s">
        <v>57</v>
      </c>
      <c r="D6" s="21">
        <v>0</v>
      </c>
      <c r="E6" s="21">
        <f>4.8/12</f>
        <v>0.39999999999999997</v>
      </c>
      <c r="F6" s="21">
        <f>4/12</f>
        <v>0.33333333333333331</v>
      </c>
      <c r="G6" s="21">
        <f>40/12</f>
        <v>3.3333333333333335</v>
      </c>
      <c r="H6" s="49">
        <f>83.95/(12*30)</f>
        <v>0.23319444444444445</v>
      </c>
      <c r="I6" s="8"/>
      <c r="J6" s="9" t="s">
        <v>87</v>
      </c>
      <c r="K6" s="30">
        <v>1</v>
      </c>
      <c r="L6" s="31">
        <f t="shared" si="0"/>
        <v>0</v>
      </c>
      <c r="M6" s="31">
        <f t="shared" si="1"/>
        <v>0</v>
      </c>
      <c r="N6" s="31">
        <f t="shared" si="2"/>
        <v>0</v>
      </c>
      <c r="O6" s="31">
        <f t="shared" si="3"/>
        <v>0</v>
      </c>
      <c r="P6" s="31">
        <f t="shared" si="4"/>
        <v>0.13</v>
      </c>
      <c r="X6" s="8"/>
      <c r="Y6" s="8"/>
      <c r="AB6" s="135">
        <f>Q26</f>
        <v>0.6875</v>
      </c>
      <c r="AC6" s="134">
        <f t="shared" si="5"/>
        <v>2.0000000000000009</v>
      </c>
      <c r="AD6" s="134">
        <f t="shared" si="6"/>
        <v>5.5</v>
      </c>
      <c r="AE6" s="21">
        <f>L32</f>
        <v>2</v>
      </c>
      <c r="AF6" s="134">
        <f>M32</f>
        <v>63.3</v>
      </c>
      <c r="AG6" s="134">
        <f>N32</f>
        <v>52</v>
      </c>
      <c r="AH6" s="134">
        <f>O32</f>
        <v>490</v>
      </c>
      <c r="AI6" s="134">
        <f t="shared" si="7"/>
        <v>0.99999999999999956</v>
      </c>
      <c r="AJ6" s="134">
        <f t="shared" si="8"/>
        <v>31.649999999999984</v>
      </c>
      <c r="AK6" s="134">
        <f t="shared" si="9"/>
        <v>25.999999999999989</v>
      </c>
      <c r="AL6" s="134">
        <f t="shared" si="10"/>
        <v>244.99999999999989</v>
      </c>
      <c r="AM6" s="21">
        <f t="shared" si="11"/>
        <v>33.75674656578262</v>
      </c>
      <c r="AN6" s="21">
        <f t="shared" si="11"/>
        <v>196.2835343706713</v>
      </c>
      <c r="AO6" s="21">
        <f t="shared" si="11"/>
        <v>156.5635431306427</v>
      </c>
      <c r="AP6" s="21">
        <f t="shared" si="12"/>
        <v>1755.6737095346048</v>
      </c>
    </row>
    <row r="7" spans="1:42">
      <c r="A7" s="23" t="s">
        <v>29</v>
      </c>
      <c r="B7" s="24" t="s">
        <v>8</v>
      </c>
      <c r="C7" s="8" t="s">
        <v>31</v>
      </c>
      <c r="D7" s="21">
        <v>4.37</v>
      </c>
      <c r="E7" s="21">
        <v>2.4500000000000002</v>
      </c>
      <c r="F7" s="21">
        <v>0.56000000000000005</v>
      </c>
      <c r="G7" s="21">
        <v>47</v>
      </c>
      <c r="H7" s="49">
        <f>1.25/4</f>
        <v>0.3125</v>
      </c>
      <c r="I7" s="8"/>
      <c r="J7" s="9" t="s">
        <v>50</v>
      </c>
      <c r="K7" s="30">
        <v>20</v>
      </c>
      <c r="L7" s="31">
        <f t="shared" si="0"/>
        <v>10</v>
      </c>
      <c r="M7" s="31">
        <f t="shared" si="1"/>
        <v>4.375</v>
      </c>
      <c r="N7" s="31">
        <f t="shared" si="2"/>
        <v>3.75</v>
      </c>
      <c r="O7" s="31">
        <f t="shared" si="3"/>
        <v>118.75</v>
      </c>
      <c r="P7" s="31">
        <f t="shared" si="4"/>
        <v>0.53616422210643822</v>
      </c>
      <c r="Q7" s="118"/>
      <c r="R7" s="107"/>
      <c r="X7" s="15" t="s">
        <v>136</v>
      </c>
      <c r="Y7" s="15"/>
      <c r="AB7" s="135">
        <f>Q35</f>
        <v>0.75</v>
      </c>
      <c r="AC7" s="134">
        <f t="shared" si="5"/>
        <v>1.5</v>
      </c>
      <c r="AD7" s="134">
        <f t="shared" si="6"/>
        <v>7</v>
      </c>
      <c r="AE7" s="21">
        <f>L39</f>
        <v>4.7299999999999995</v>
      </c>
      <c r="AF7" s="134">
        <f>M39</f>
        <v>56.519999999999996</v>
      </c>
      <c r="AG7" s="134">
        <f>N39</f>
        <v>47.980000000000004</v>
      </c>
      <c r="AH7" s="134">
        <f>O39</f>
        <v>455.03999999999996</v>
      </c>
      <c r="AI7" s="134">
        <f t="shared" si="7"/>
        <v>3.1533333333333329</v>
      </c>
      <c r="AJ7" s="134">
        <f t="shared" si="8"/>
        <v>37.68</v>
      </c>
      <c r="AK7" s="134">
        <f t="shared" si="9"/>
        <v>31.986666666666668</v>
      </c>
      <c r="AL7" s="134">
        <f t="shared" si="10"/>
        <v>303.35999999999996</v>
      </c>
      <c r="AM7" s="21">
        <f t="shared" ref="AM7:AN10" si="13">AE7+AM6</f>
        <v>38.486746565782617</v>
      </c>
      <c r="AN7" s="21">
        <f t="shared" si="13"/>
        <v>252.80353437067129</v>
      </c>
      <c r="AO7" s="21">
        <f t="shared" ref="AO7:AO10" si="14">AG7+AO6</f>
        <v>204.54354313064272</v>
      </c>
      <c r="AP7" s="21">
        <f t="shared" si="12"/>
        <v>2210.7137095346047</v>
      </c>
    </row>
    <row r="8" spans="1:42">
      <c r="A8" s="23" t="s">
        <v>141</v>
      </c>
      <c r="B8" s="24" t="s">
        <v>8</v>
      </c>
      <c r="C8" s="8" t="s">
        <v>31</v>
      </c>
      <c r="D8" s="21">
        <v>0</v>
      </c>
      <c r="E8" s="21">
        <v>1</v>
      </c>
      <c r="F8" s="21">
        <f>2/3</f>
        <v>0.66666666666666663</v>
      </c>
      <c r="G8" s="21">
        <f>20/3</f>
        <v>6.666666666666667</v>
      </c>
      <c r="H8" s="49">
        <f>1.6/16</f>
        <v>0.1</v>
      </c>
      <c r="I8" s="8"/>
      <c r="J8" s="9" t="s">
        <v>215</v>
      </c>
      <c r="K8" s="30">
        <v>12</v>
      </c>
      <c r="L8" s="31">
        <f t="shared" si="0"/>
        <v>0</v>
      </c>
      <c r="M8" s="31">
        <f t="shared" si="1"/>
        <v>4.8</v>
      </c>
      <c r="N8" s="31">
        <f t="shared" si="2"/>
        <v>4</v>
      </c>
      <c r="O8" s="31">
        <f t="shared" si="3"/>
        <v>40</v>
      </c>
      <c r="P8" s="31">
        <f t="shared" si="4"/>
        <v>2.7983333333333333</v>
      </c>
      <c r="Q8" s="118"/>
      <c r="R8" s="107"/>
      <c r="X8" s="23" t="s">
        <v>144</v>
      </c>
      <c r="Y8" s="55">
        <f>SUM(P9+P16+P24+P32+P39+P46+P53+P62)</f>
        <v>26.169472974681945</v>
      </c>
      <c r="AB8" s="135">
        <f>Q42</f>
        <v>0.85416666666666663</v>
      </c>
      <c r="AC8" s="134">
        <f t="shared" si="5"/>
        <v>2.4999999999999991</v>
      </c>
      <c r="AD8" s="134">
        <f t="shared" si="6"/>
        <v>9.5</v>
      </c>
      <c r="AE8" s="21">
        <f>L46</f>
        <v>4.51</v>
      </c>
      <c r="AF8" s="134">
        <f>M46</f>
        <v>50.97</v>
      </c>
      <c r="AG8" s="134">
        <f>N46</f>
        <v>47.360000000000007</v>
      </c>
      <c r="AH8" s="134">
        <f>O46</f>
        <v>428.15999999999997</v>
      </c>
      <c r="AI8" s="134">
        <f t="shared" si="7"/>
        <v>1.8040000000000005</v>
      </c>
      <c r="AJ8" s="134">
        <f t="shared" si="8"/>
        <v>20.388000000000005</v>
      </c>
      <c r="AK8" s="134">
        <f t="shared" si="9"/>
        <v>18.94400000000001</v>
      </c>
      <c r="AL8" s="134">
        <f t="shared" si="10"/>
        <v>171.26400000000004</v>
      </c>
      <c r="AM8" s="21">
        <f t="shared" si="13"/>
        <v>42.996746565782615</v>
      </c>
      <c r="AN8" s="21">
        <f t="shared" si="13"/>
        <v>303.77353437067131</v>
      </c>
      <c r="AO8" s="21">
        <f t="shared" si="14"/>
        <v>251.90354313064273</v>
      </c>
      <c r="AP8" s="21">
        <f t="shared" si="12"/>
        <v>2638.8737095346046</v>
      </c>
    </row>
    <row r="9" spans="1:42">
      <c r="A9" s="23" t="s">
        <v>124</v>
      </c>
      <c r="B9" s="41" t="s">
        <v>125</v>
      </c>
      <c r="C9" s="8" t="s">
        <v>31</v>
      </c>
      <c r="D9" s="8">
        <v>0.09</v>
      </c>
      <c r="E9" s="8">
        <v>1.51</v>
      </c>
      <c r="F9" s="8">
        <v>0.75</v>
      </c>
      <c r="G9" s="8">
        <v>8</v>
      </c>
      <c r="H9" s="50">
        <f>3.89/16</f>
        <v>0.24312500000000001</v>
      </c>
      <c r="I9" s="8"/>
      <c r="J9" s="27"/>
      <c r="K9" s="32"/>
      <c r="L9" s="33">
        <f>SUM(L2:L8)</f>
        <v>13.371746565782619</v>
      </c>
      <c r="M9" s="33">
        <f>SUM(M2:M8)</f>
        <v>49.583534370671316</v>
      </c>
      <c r="N9" s="33">
        <f>SUM(N2:N8)</f>
        <v>47.103543130642699</v>
      </c>
      <c r="O9" s="33">
        <f>SUM(O2:O8)</f>
        <v>535.6337095346048</v>
      </c>
      <c r="P9" s="33">
        <f>SUM(P2:P8)</f>
        <v>5.5098970206594071</v>
      </c>
      <c r="Q9" s="118"/>
      <c r="R9" s="107"/>
      <c r="X9" s="23" t="s">
        <v>131</v>
      </c>
      <c r="Y9" s="55">
        <f>Y8*1.085</f>
        <v>28.39387817752991</v>
      </c>
      <c r="AB9" s="135">
        <f>Q49</f>
        <v>0.95833333333333337</v>
      </c>
      <c r="AC9" s="134">
        <f t="shared" si="5"/>
        <v>2.5000000000000018</v>
      </c>
      <c r="AD9" s="134">
        <f t="shared" si="6"/>
        <v>12.000000000000002</v>
      </c>
      <c r="AE9" s="21">
        <f>L53</f>
        <v>22.599999999999998</v>
      </c>
      <c r="AF9" s="134">
        <f>M53</f>
        <v>34.32</v>
      </c>
      <c r="AG9" s="134">
        <f>N53</f>
        <v>44.3</v>
      </c>
      <c r="AH9" s="134">
        <f>O53</f>
        <v>515.52</v>
      </c>
      <c r="AI9" s="134">
        <f t="shared" si="7"/>
        <v>9.039999999999992</v>
      </c>
      <c r="AJ9" s="134">
        <f t="shared" si="8"/>
        <v>13.727999999999991</v>
      </c>
      <c r="AK9" s="134">
        <f t="shared" si="9"/>
        <v>17.719999999999985</v>
      </c>
      <c r="AL9" s="134">
        <f t="shared" si="10"/>
        <v>206.20799999999986</v>
      </c>
      <c r="AM9" s="21">
        <f t="shared" si="13"/>
        <v>65.59674656578261</v>
      </c>
      <c r="AN9" s="21">
        <f t="shared" si="13"/>
        <v>338.09353437067131</v>
      </c>
      <c r="AO9" s="21">
        <f t="shared" si="14"/>
        <v>296.20354313064274</v>
      </c>
      <c r="AP9" s="21">
        <f t="shared" si="12"/>
        <v>3154.3937095346046</v>
      </c>
    </row>
    <row r="10" spans="1:42">
      <c r="A10" s="23" t="s">
        <v>35</v>
      </c>
      <c r="B10" s="24" t="s">
        <v>8</v>
      </c>
      <c r="C10" s="8" t="s">
        <v>31</v>
      </c>
      <c r="D10" s="21">
        <v>0.09</v>
      </c>
      <c r="E10" s="21">
        <v>6.48</v>
      </c>
      <c r="F10" s="21">
        <v>0.31</v>
      </c>
      <c r="G10" s="21">
        <v>25</v>
      </c>
      <c r="H10" s="49">
        <v>6.6500000000000004E-2</v>
      </c>
      <c r="I10" s="8"/>
      <c r="J10" s="128"/>
      <c r="K10" s="128"/>
      <c r="L10" s="129">
        <f>(L9*$Y$2)/($L9*$Y$2+$M9*$Y$3+$N9*$Y$4)</f>
        <v>0.2361394137142237</v>
      </c>
      <c r="M10" s="129">
        <f>(M9*$Y$3)/($L9*$Y$2+$M9*$Y$3+$N9*$Y$4)</f>
        <v>0.39172667757991952</v>
      </c>
      <c r="N10" s="129">
        <f>(N9*$Y$4)/($L9*$Y$2+$M9*$Y$3+$N9*$Y$4)</f>
        <v>0.37213390870585672</v>
      </c>
      <c r="O10" s="128"/>
      <c r="P10" s="128"/>
      <c r="Q10" s="118"/>
      <c r="R10" s="105"/>
      <c r="X10" s="23" t="s">
        <v>132</v>
      </c>
      <c r="Y10" s="55">
        <f>Y9*7</f>
        <v>198.75714724270938</v>
      </c>
      <c r="AB10" s="135">
        <f>Q56</f>
        <v>6.25E-2</v>
      </c>
      <c r="AC10" s="134">
        <f t="shared" si="5"/>
        <v>2.4999999999999991</v>
      </c>
      <c r="AD10" s="134">
        <f t="shared" si="6"/>
        <v>14.5</v>
      </c>
      <c r="AE10" s="21">
        <f>L62</f>
        <v>16</v>
      </c>
      <c r="AF10" s="134">
        <f>M62</f>
        <v>6</v>
      </c>
      <c r="AG10" s="134">
        <f>N62</f>
        <v>48</v>
      </c>
      <c r="AH10" s="134">
        <f>O62</f>
        <v>360</v>
      </c>
      <c r="AI10" s="134">
        <f t="shared" si="7"/>
        <v>6.4000000000000021</v>
      </c>
      <c r="AJ10" s="134">
        <f t="shared" si="8"/>
        <v>2.4000000000000008</v>
      </c>
      <c r="AK10" s="134">
        <f t="shared" si="9"/>
        <v>19.200000000000006</v>
      </c>
      <c r="AL10" s="134">
        <f t="shared" si="10"/>
        <v>144.00000000000006</v>
      </c>
      <c r="AM10" s="21">
        <f t="shared" si="13"/>
        <v>81.59674656578261</v>
      </c>
      <c r="AN10" s="21">
        <f t="shared" si="13"/>
        <v>344.09353437067131</v>
      </c>
      <c r="AO10" s="21">
        <f t="shared" si="14"/>
        <v>344.20354313064274</v>
      </c>
      <c r="AP10" s="21">
        <f t="shared" si="12"/>
        <v>3514.3937095346046</v>
      </c>
    </row>
    <row r="11" spans="1:42">
      <c r="A11" s="23" t="s">
        <v>99</v>
      </c>
      <c r="B11" s="24" t="s">
        <v>100</v>
      </c>
      <c r="C11" s="8" t="s">
        <v>31</v>
      </c>
      <c r="D11" s="21">
        <v>0</v>
      </c>
      <c r="E11" s="21">
        <f>20/140*28.3495231</f>
        <v>4.049931871428571</v>
      </c>
      <c r="F11" s="21">
        <v>0</v>
      </c>
      <c r="G11" s="21">
        <f>80/140*28.3495231</f>
        <v>16.199727485714284</v>
      </c>
      <c r="H11" s="50">
        <f>10.99/32</f>
        <v>0.34343750000000001</v>
      </c>
      <c r="I11" s="8"/>
      <c r="J11" s="17"/>
      <c r="Q11" s="118"/>
      <c r="R11" s="107"/>
      <c r="X11" s="23" t="s">
        <v>133</v>
      </c>
      <c r="Y11" s="55">
        <f>Y9*(365/12)</f>
        <v>863.64712789986811</v>
      </c>
    </row>
    <row r="12" spans="1:42">
      <c r="A12" s="23" t="s">
        <v>94</v>
      </c>
      <c r="B12" s="24" t="s">
        <v>45</v>
      </c>
      <c r="C12" s="8" t="s">
        <v>31</v>
      </c>
      <c r="D12" s="21">
        <v>0.05</v>
      </c>
      <c r="E12" s="21">
        <v>0.5</v>
      </c>
      <c r="F12" s="21">
        <v>0.44</v>
      </c>
      <c r="G12" s="21">
        <v>3</v>
      </c>
      <c r="H12" s="50">
        <f>0.29/16</f>
        <v>1.8124999999999999E-2</v>
      </c>
      <c r="I12" s="8"/>
      <c r="J12" s="15" t="s">
        <v>9</v>
      </c>
      <c r="K12" s="29" t="s">
        <v>77</v>
      </c>
      <c r="L12" s="29" t="s">
        <v>1</v>
      </c>
      <c r="M12" s="29" t="s">
        <v>3</v>
      </c>
      <c r="N12" s="29" t="s">
        <v>2</v>
      </c>
      <c r="O12" s="29" t="s">
        <v>4</v>
      </c>
      <c r="P12" s="38" t="s">
        <v>119</v>
      </c>
      <c r="Q12" s="117">
        <v>0.5625</v>
      </c>
      <c r="R12" s="107"/>
      <c r="X12" s="23" t="s">
        <v>134</v>
      </c>
      <c r="Y12" s="55">
        <f>Y9/7</f>
        <v>4.0562683110757014</v>
      </c>
    </row>
    <row r="13" spans="1:42">
      <c r="A13" s="23" t="s">
        <v>12</v>
      </c>
      <c r="B13" s="24" t="s">
        <v>11</v>
      </c>
      <c r="C13" s="8" t="s">
        <v>31</v>
      </c>
      <c r="D13" s="21">
        <v>0.12</v>
      </c>
      <c r="E13" s="21">
        <v>2.02</v>
      </c>
      <c r="F13" s="21">
        <v>0.67</v>
      </c>
      <c r="G13" s="21">
        <v>10</v>
      </c>
      <c r="H13" s="49">
        <f>1/16</f>
        <v>6.25E-2</v>
      </c>
      <c r="I13" s="8"/>
      <c r="J13" s="9" t="s">
        <v>93</v>
      </c>
      <c r="K13" s="30">
        <v>7</v>
      </c>
      <c r="L13" s="31">
        <f>IFERROR(VLOOKUP($J13,$A$2:$G$991,4,FALSE)*$K13,"--")</f>
        <v>2.625</v>
      </c>
      <c r="M13" s="31">
        <f>IFERROR(VLOOKUP($J13,$A$2:$G$991,5,FALSE)*$K13,"--")</f>
        <v>0</v>
      </c>
      <c r="N13" s="31">
        <f>IFERROR(VLOOKUP($J13,$A$2:$G$991,6,FALSE)*$K13,"--")</f>
        <v>45.5</v>
      </c>
      <c r="O13" s="31">
        <f>IFERROR(VLOOKUP($J13,$A$2:$G$991,7,FALSE)*$K13,"--")</f>
        <v>210</v>
      </c>
      <c r="P13" s="31">
        <f>IFERROR(VLOOKUP($J13,$A$2:$H$991,8,FALSE)*$K13,"--")</f>
        <v>1.308125</v>
      </c>
      <c r="Q13" s="118"/>
      <c r="R13" s="107"/>
    </row>
    <row r="14" spans="1:42">
      <c r="A14" s="23" t="s">
        <v>25</v>
      </c>
      <c r="B14" s="24" t="s">
        <v>14</v>
      </c>
      <c r="C14" s="8" t="s">
        <v>31</v>
      </c>
      <c r="D14" s="21">
        <v>0.22</v>
      </c>
      <c r="E14" s="21">
        <v>5.55</v>
      </c>
      <c r="F14" s="21">
        <v>0.62</v>
      </c>
      <c r="G14" s="21">
        <v>26.88</v>
      </c>
      <c r="H14" s="49">
        <v>0.06</v>
      </c>
      <c r="I14" s="8"/>
      <c r="J14" s="17" t="s">
        <v>25</v>
      </c>
      <c r="K14" s="34">
        <v>8</v>
      </c>
      <c r="L14" s="31">
        <f>IFERROR(VLOOKUP($J14,$A$2:$G$991,4,FALSE)*$K14,"--")</f>
        <v>1.76</v>
      </c>
      <c r="M14" s="31">
        <f>IFERROR(VLOOKUP($J14,$A$2:$G$991,5,FALSE)*$K14,"--")</f>
        <v>44.4</v>
      </c>
      <c r="N14" s="31">
        <f>IFERROR(VLOOKUP($J14,$A$2:$G$991,6,FALSE)*$K14,"--")</f>
        <v>4.96</v>
      </c>
      <c r="O14" s="31">
        <f>IFERROR(VLOOKUP($J14,$A$2:$G$991,7,FALSE)*$K14,"--")</f>
        <v>215.04</v>
      </c>
      <c r="P14" s="31">
        <f>IFERROR(VLOOKUP($J14,$A$2:$H$991,8,FALSE)*$K14,"--")</f>
        <v>0.48</v>
      </c>
      <c r="Q14" s="118"/>
      <c r="R14" s="107"/>
      <c r="X14" s="15" t="s">
        <v>140</v>
      </c>
      <c r="Y14" s="15"/>
    </row>
    <row r="15" spans="1:42">
      <c r="A15" s="23" t="s">
        <v>44</v>
      </c>
      <c r="B15" s="24" t="s">
        <v>45</v>
      </c>
      <c r="C15" s="8" t="s">
        <v>31</v>
      </c>
      <c r="D15" s="21">
        <v>0.1</v>
      </c>
      <c r="E15" s="21">
        <v>2</v>
      </c>
      <c r="F15" s="21">
        <v>0.7</v>
      </c>
      <c r="G15" s="21">
        <v>10</v>
      </c>
      <c r="H15" s="49">
        <f>2.99/16</f>
        <v>0.18687500000000001</v>
      </c>
      <c r="I15" s="8"/>
      <c r="J15" s="17" t="s">
        <v>85</v>
      </c>
      <c r="K15" s="34">
        <v>13</v>
      </c>
      <c r="L15" s="31">
        <f>IFERROR(VLOOKUP($J15,$A$2:$G$991,4,FALSE)*$K15,"--")</f>
        <v>14</v>
      </c>
      <c r="M15" s="31">
        <f>IFERROR(VLOOKUP($J15,$A$2:$G$991,5,FALSE)*$K15,"--")</f>
        <v>0</v>
      </c>
      <c r="N15" s="31">
        <f>IFERROR(VLOOKUP($J15,$A$2:$G$991,6,FALSE)*$K15,"--")</f>
        <v>0</v>
      </c>
      <c r="O15" s="31">
        <f>IFERROR(VLOOKUP($J15,$A$2:$G$991,7,FALSE)*$K15,"--")</f>
        <v>119.99999999999999</v>
      </c>
      <c r="P15" s="31">
        <f>IFERROR(VLOOKUP($J15,$A$2:$H$991,8,FALSE)*$K15,"--")</f>
        <v>0.47231835092139529</v>
      </c>
      <c r="Q15" s="118"/>
      <c r="R15" s="107"/>
      <c r="X15" s="23" t="s">
        <v>137</v>
      </c>
      <c r="Y15" s="58">
        <v>205</v>
      </c>
    </row>
    <row r="16" spans="1:42">
      <c r="A16" s="23" t="s">
        <v>89</v>
      </c>
      <c r="B16" s="41" t="s">
        <v>126</v>
      </c>
      <c r="C16" s="8" t="s">
        <v>32</v>
      </c>
      <c r="D16" s="21">
        <v>0</v>
      </c>
      <c r="E16" s="21">
        <v>0</v>
      </c>
      <c r="F16" s="21">
        <v>0</v>
      </c>
      <c r="G16" s="21">
        <v>0</v>
      </c>
      <c r="H16" s="50">
        <f>39.49/60</f>
        <v>0.65816666666666668</v>
      </c>
      <c r="I16" s="8"/>
      <c r="J16" s="27"/>
      <c r="K16" s="32"/>
      <c r="L16" s="33">
        <f>SUM(L13:L15)</f>
        <v>18.384999999999998</v>
      </c>
      <c r="M16" s="33">
        <f>SUM(M13:M15)</f>
        <v>44.4</v>
      </c>
      <c r="N16" s="33">
        <f>SUM(N13:N15)</f>
        <v>50.46</v>
      </c>
      <c r="O16" s="33">
        <f>SUM(O13:O15)</f>
        <v>545.04</v>
      </c>
      <c r="P16" s="33">
        <f>SUM(P13:P15)</f>
        <v>2.2604433509213955</v>
      </c>
      <c r="Q16" s="118"/>
      <c r="R16" s="107"/>
      <c r="X16" s="23" t="s">
        <v>145</v>
      </c>
      <c r="Y16" s="58">
        <f>Y15*16</f>
        <v>3280</v>
      </c>
    </row>
    <row r="17" spans="1:32">
      <c r="A17" s="23" t="s">
        <v>52</v>
      </c>
      <c r="B17" s="24" t="s">
        <v>53</v>
      </c>
      <c r="C17" s="8" t="s">
        <v>31</v>
      </c>
      <c r="D17" s="21">
        <v>0.04</v>
      </c>
      <c r="E17" s="21">
        <v>2.34</v>
      </c>
      <c r="F17" s="21">
        <v>0.18</v>
      </c>
      <c r="G17" s="21">
        <v>10</v>
      </c>
      <c r="H17" s="49">
        <f>0.39/16</f>
        <v>2.4375000000000001E-2</v>
      </c>
      <c r="I17" s="8"/>
      <c r="J17" s="128"/>
      <c r="K17" s="128"/>
      <c r="L17" s="129">
        <f>(L16*$Y$2)/($L16*$Y$2+$M16*$Y$3+$N16*$Y$4)</f>
        <v>0.3022736614386155</v>
      </c>
      <c r="M17" s="129">
        <f>(M16*$Y$3)/($L16*$Y$2+$M16*$Y$3+$N16*$Y$4)</f>
        <v>0.32657652785289348</v>
      </c>
      <c r="N17" s="129">
        <f>(N16*$Y$4)/($L16*$Y$2+$M16*$Y$3+$N16*$Y$4)</f>
        <v>0.37114981070849112</v>
      </c>
      <c r="O17" s="128"/>
      <c r="P17" s="128"/>
      <c r="Q17" s="118"/>
      <c r="R17" s="105"/>
      <c r="X17" s="23" t="s">
        <v>138</v>
      </c>
      <c r="Y17" s="58">
        <f>Y16+500</f>
        <v>3780</v>
      </c>
    </row>
    <row r="18" spans="1:32">
      <c r="A18" s="23" t="s">
        <v>84</v>
      </c>
      <c r="B18" s="24" t="s">
        <v>83</v>
      </c>
      <c r="C18" s="8" t="s">
        <v>32</v>
      </c>
      <c r="D18" s="21">
        <v>1</v>
      </c>
      <c r="E18" s="21">
        <v>3</v>
      </c>
      <c r="F18" s="21">
        <v>24</v>
      </c>
      <c r="G18" s="21">
        <v>120</v>
      </c>
      <c r="H18" s="49">
        <f>44.9/56</f>
        <v>0.80178571428571421</v>
      </c>
      <c r="I18" s="8"/>
      <c r="J18" s="42"/>
      <c r="K18" s="36"/>
      <c r="L18" s="43"/>
      <c r="M18" s="43"/>
      <c r="N18" s="43"/>
      <c r="O18" s="43"/>
      <c r="P18" s="43"/>
      <c r="Q18" s="118"/>
      <c r="R18" s="107"/>
      <c r="X18" s="23" t="s">
        <v>139</v>
      </c>
      <c r="Y18" s="58">
        <f>Y16-500</f>
        <v>2780</v>
      </c>
    </row>
    <row r="19" spans="1:32">
      <c r="A19" s="23" t="s">
        <v>47</v>
      </c>
      <c r="B19" s="24" t="s">
        <v>5</v>
      </c>
      <c r="C19" s="8" t="s">
        <v>31</v>
      </c>
      <c r="D19" s="21">
        <v>0.1</v>
      </c>
      <c r="E19" s="21">
        <v>1.1200000000000001</v>
      </c>
      <c r="F19" s="21">
        <v>0.5</v>
      </c>
      <c r="G19" s="21">
        <v>6</v>
      </c>
      <c r="H19" s="49"/>
      <c r="I19" s="8"/>
      <c r="J19" s="39" t="s">
        <v>86</v>
      </c>
      <c r="K19" s="40" t="s">
        <v>77</v>
      </c>
      <c r="L19" s="40" t="s">
        <v>1</v>
      </c>
      <c r="M19" s="40" t="s">
        <v>3</v>
      </c>
      <c r="N19" s="40" t="s">
        <v>2</v>
      </c>
      <c r="O19" s="40" t="s">
        <v>4</v>
      </c>
      <c r="P19" s="40" t="s">
        <v>119</v>
      </c>
      <c r="Q19" s="118">
        <v>0.60416666666666663</v>
      </c>
      <c r="R19" s="107"/>
      <c r="X19" s="23" t="s">
        <v>38</v>
      </c>
      <c r="Y19" s="59">
        <f>Y15*1.5</f>
        <v>307.5</v>
      </c>
    </row>
    <row r="20" spans="1:32">
      <c r="A20" s="23" t="s">
        <v>54</v>
      </c>
      <c r="B20" s="24" t="s">
        <v>55</v>
      </c>
      <c r="C20" s="8" t="s">
        <v>31</v>
      </c>
      <c r="D20" s="21">
        <v>0.05</v>
      </c>
      <c r="E20" s="21">
        <v>0.84</v>
      </c>
      <c r="F20" s="21">
        <v>0.2</v>
      </c>
      <c r="G20" s="21">
        <v>4</v>
      </c>
      <c r="H20" s="49">
        <f>0.59/16</f>
        <v>3.6874999999999998E-2</v>
      </c>
      <c r="I20" s="8"/>
      <c r="J20" s="9" t="s">
        <v>88</v>
      </c>
      <c r="K20" s="30">
        <v>3</v>
      </c>
      <c r="L20" s="31">
        <f>IFERROR(VLOOKUP($J20,$A$2:$G$991,4,FALSE)*$K20,"--")</f>
        <v>0</v>
      </c>
      <c r="M20" s="31">
        <f>IFERROR(VLOOKUP($J20,$A$2:$G$991,5,FALSE)*$K20,"--")</f>
        <v>0</v>
      </c>
      <c r="N20" s="31">
        <f>IFERROR(VLOOKUP($J20,$A$2:$G$991,6,FALSE)*$K20,"--")</f>
        <v>0</v>
      </c>
      <c r="O20" s="31">
        <f>IFERROR(VLOOKUP($J20,$A$2:$G$991,7,FALSE)*$K20,"--")</f>
        <v>0</v>
      </c>
      <c r="P20" s="31">
        <f>IFERROR(VLOOKUP($J20,$A$2:$H$991,8,FALSE)*$K20,"--")</f>
        <v>0.45299999999999996</v>
      </c>
      <c r="Q20" s="118"/>
      <c r="R20" s="107"/>
      <c r="AE20" s="4"/>
      <c r="AF20" s="4"/>
    </row>
    <row r="21" spans="1:32">
      <c r="A21" s="23" t="s">
        <v>28</v>
      </c>
      <c r="B21" s="24" t="s">
        <v>82</v>
      </c>
      <c r="C21" s="8" t="s">
        <v>32</v>
      </c>
      <c r="D21" s="21">
        <v>0</v>
      </c>
      <c r="E21" s="21">
        <v>38.5</v>
      </c>
      <c r="F21" s="21">
        <v>0</v>
      </c>
      <c r="G21" s="21">
        <v>155</v>
      </c>
      <c r="H21" s="49">
        <f>37.55/40</f>
        <v>0.93874999999999997</v>
      </c>
      <c r="I21" s="8"/>
      <c r="J21" s="9" t="s">
        <v>246</v>
      </c>
      <c r="K21" s="30">
        <v>1</v>
      </c>
      <c r="L21" s="31">
        <f>IFERROR(VLOOKUP($J21,$A$2:$G$991,4,FALSE)*$K21,"--")</f>
        <v>0</v>
      </c>
      <c r="M21" s="31">
        <f>IFERROR(VLOOKUP($J21,$A$2:$G$991,5,FALSE)*$K21,"--")</f>
        <v>0</v>
      </c>
      <c r="N21" s="31">
        <f>IFERROR(VLOOKUP($J21,$A$2:$G$991,6,FALSE)*$K21,"--")</f>
        <v>0</v>
      </c>
      <c r="O21" s="31">
        <f>IFERROR(VLOOKUP($J21,$A$2:$G$991,7,FALSE)*$K21,"--")</f>
        <v>5</v>
      </c>
      <c r="P21" s="31">
        <f>IFERROR(VLOOKUP($J21,$A$2:$H$991,8,FALSE)*$K21,"--")</f>
        <v>0.68099999999999994</v>
      </c>
      <c r="Q21" s="139"/>
      <c r="R21" s="107"/>
      <c r="S21" s="44" t="s">
        <v>96</v>
      </c>
      <c r="T21" s="45" t="s">
        <v>77</v>
      </c>
      <c r="U21" s="45" t="s">
        <v>1</v>
      </c>
      <c r="V21" s="45" t="s">
        <v>3</v>
      </c>
      <c r="W21" s="45" t="s">
        <v>2</v>
      </c>
      <c r="X21" s="45" t="s">
        <v>4</v>
      </c>
      <c r="Y21" s="45" t="s">
        <v>119</v>
      </c>
    </row>
    <row r="22" spans="1:32">
      <c r="A22" s="23" t="s">
        <v>93</v>
      </c>
      <c r="B22" s="24" t="s">
        <v>104</v>
      </c>
      <c r="C22" s="8" t="s">
        <v>31</v>
      </c>
      <c r="D22" s="21">
        <f>1.5/4</f>
        <v>0.375</v>
      </c>
      <c r="E22" s="21">
        <v>0</v>
      </c>
      <c r="F22" s="21">
        <f>26/4</f>
        <v>6.5</v>
      </c>
      <c r="G22" s="21">
        <v>30</v>
      </c>
      <c r="H22" s="50">
        <f>2.99/16</f>
        <v>0.18687500000000001</v>
      </c>
      <c r="I22" s="8"/>
      <c r="J22" s="9" t="s">
        <v>89</v>
      </c>
      <c r="K22" s="30">
        <v>1</v>
      </c>
      <c r="L22" s="31">
        <f>IFERROR(VLOOKUP($J22,$A$2:$G$991,4,FALSE)*$K22,"--")</f>
        <v>0</v>
      </c>
      <c r="M22" s="31">
        <f>IFERROR(VLOOKUP($J22,$A$2:$G$991,5,FALSE)*$K22,"--")</f>
        <v>0</v>
      </c>
      <c r="N22" s="31">
        <f>IFERROR(VLOOKUP($J22,$A$2:$G$991,6,FALSE)*$K22,"--")</f>
        <v>0</v>
      </c>
      <c r="O22" s="31">
        <f>IFERROR(VLOOKUP($J22,$A$2:$G$991,7,FALSE)*$K22,"--")</f>
        <v>0</v>
      </c>
      <c r="P22" s="31">
        <f>IFERROR(VLOOKUP($J22,$A$2:$H$991,8,FALSE)*$K22,"--")</f>
        <v>0.65816666666666668</v>
      </c>
      <c r="Q22" s="139"/>
      <c r="R22" s="107"/>
      <c r="S22" s="9" t="s">
        <v>79</v>
      </c>
      <c r="T22" s="30">
        <v>1.5</v>
      </c>
      <c r="U22" s="31">
        <f t="shared" ref="U22:U28" si="15">IFERROR(VLOOKUP($S22,$A$2:$G$991,4,FALSE)*$T22,"--")</f>
        <v>1.5</v>
      </c>
      <c r="V22" s="31">
        <f t="shared" ref="V22:V28" si="16">IFERROR(VLOOKUP($S22,$A$2:$G$991,5,FALSE)*$T22,"--")</f>
        <v>4.5</v>
      </c>
      <c r="W22" s="31">
        <f t="shared" ref="W22:W28" si="17">IFERROR(VLOOKUP($S22,$A$2:$G$991,6,FALSE)*$T22,"--")</f>
        <v>36</v>
      </c>
      <c r="X22" s="31">
        <f t="shared" ref="X22:X28" si="18">IFERROR(VLOOKUP($S22,$A$2:$G$991,7,FALSE)*$T22,"--")</f>
        <v>180</v>
      </c>
      <c r="Y22" s="31">
        <f t="shared" ref="Y22:Y28" si="19">IFERROR(VLOOKUP($S22,$A$2:$H$991,8,FALSE)*$T22,"--")</f>
        <v>0.99190140845070429</v>
      </c>
    </row>
    <row r="23" spans="1:32">
      <c r="A23" s="23" t="s">
        <v>58</v>
      </c>
      <c r="B23" s="24" t="s">
        <v>90</v>
      </c>
      <c r="C23" s="8" t="s">
        <v>57</v>
      </c>
      <c r="D23" s="21">
        <f>0.9/28.3495231</f>
        <v>3.1746565782618051E-2</v>
      </c>
      <c r="E23" s="21">
        <f>22.64/28.3495231</f>
        <v>0.7986024992427474</v>
      </c>
      <c r="F23" s="21">
        <f>1.1/28.3495231</f>
        <v>3.88013581787554E-2</v>
      </c>
      <c r="G23" s="21">
        <f>74/28.3495231</f>
        <v>2.6102731865708177</v>
      </c>
      <c r="H23" s="49">
        <f>3.52/28.3495231</f>
        <v>0.12416434617201727</v>
      </c>
      <c r="I23" s="8"/>
      <c r="J23" s="9" t="s">
        <v>27</v>
      </c>
      <c r="K23" s="30">
        <v>1</v>
      </c>
      <c r="L23" s="31">
        <f>IFERROR(VLOOKUP($J23,$A$2:$G$991,4,FALSE)*$K23,"--")</f>
        <v>0</v>
      </c>
      <c r="M23" s="31">
        <f>IFERROR(VLOOKUP($J23,$A$2:$G$991,5,FALSE)*$K23,"--")</f>
        <v>39</v>
      </c>
      <c r="N23" s="31">
        <f>IFERROR(VLOOKUP($J23,$A$2:$G$991,6,FALSE)*$K23,"--")</f>
        <v>7</v>
      </c>
      <c r="O23" s="31">
        <f>IFERROR(VLOOKUP($J23,$A$2:$G$991,7,FALSE)*$K23,"--")</f>
        <v>180</v>
      </c>
      <c r="P23" s="31">
        <f>IFERROR(VLOOKUP($J23,$A$2:$H$991,8,FALSE)*$K23,"--")</f>
        <v>1.6241666666666665</v>
      </c>
      <c r="Q23" s="139"/>
      <c r="R23" s="108"/>
      <c r="S23" s="9" t="s">
        <v>142</v>
      </c>
      <c r="T23" s="30">
        <v>1</v>
      </c>
      <c r="U23" s="31">
        <f t="shared" si="15"/>
        <v>0</v>
      </c>
      <c r="V23" s="31">
        <f t="shared" si="16"/>
        <v>35</v>
      </c>
      <c r="W23" s="31">
        <f t="shared" si="17"/>
        <v>0</v>
      </c>
      <c r="X23" s="31">
        <f t="shared" si="18"/>
        <v>140</v>
      </c>
      <c r="Y23" s="31">
        <f t="shared" si="19"/>
        <v>0.29186666666666666</v>
      </c>
    </row>
    <row r="24" spans="1:32">
      <c r="A24" s="23" t="s">
        <v>56</v>
      </c>
      <c r="B24" s="24" t="s">
        <v>194</v>
      </c>
      <c r="C24" s="8" t="s">
        <v>31</v>
      </c>
      <c r="D24" s="21">
        <f>5/3.9859577</f>
        <v>1.2544036781925709</v>
      </c>
      <c r="E24" s="21">
        <f>4/3.9859577</f>
        <v>1.0035229425540566</v>
      </c>
      <c r="F24" s="21">
        <f>13/3.9859577</f>
        <v>3.2614495633006841</v>
      </c>
      <c r="G24" s="21">
        <f>110/3.9859577</f>
        <v>27.596880920236558</v>
      </c>
      <c r="H24" s="49">
        <f>4.49/32</f>
        <v>0.14031250000000001</v>
      </c>
      <c r="I24" s="8"/>
      <c r="J24" s="27"/>
      <c r="K24" s="32"/>
      <c r="L24" s="33">
        <f>SUM(L20:L23)</f>
        <v>0</v>
      </c>
      <c r="M24" s="33">
        <f>SUM(M20:M23)</f>
        <v>39</v>
      </c>
      <c r="N24" s="33">
        <f>SUM(N20:N23)</f>
        <v>7</v>
      </c>
      <c r="O24" s="33">
        <f>SUM(O20:O23)</f>
        <v>185</v>
      </c>
      <c r="P24" s="33">
        <f>SUM(P20:P23)</f>
        <v>3.4163333333333332</v>
      </c>
      <c r="Q24" s="139"/>
      <c r="R24" s="107"/>
      <c r="S24" s="9" t="s">
        <v>97</v>
      </c>
      <c r="T24" s="30">
        <v>15</v>
      </c>
      <c r="U24" s="31">
        <f t="shared" si="15"/>
        <v>0</v>
      </c>
      <c r="V24" s="31">
        <f t="shared" si="16"/>
        <v>22.608695652173914</v>
      </c>
      <c r="W24" s="31">
        <f t="shared" si="17"/>
        <v>15.652173913043478</v>
      </c>
      <c r="X24" s="31">
        <f t="shared" si="18"/>
        <v>156.52173913043478</v>
      </c>
      <c r="Y24" s="31">
        <f t="shared" si="19"/>
        <v>0.43260869565217391</v>
      </c>
    </row>
    <row r="25" spans="1:32">
      <c r="A25" s="23" t="s">
        <v>240</v>
      </c>
      <c r="B25" s="24" t="s">
        <v>241</v>
      </c>
      <c r="C25" s="8" t="s">
        <v>57</v>
      </c>
      <c r="D25" s="21">
        <v>0</v>
      </c>
      <c r="E25" s="21">
        <v>0</v>
      </c>
      <c r="F25" s="21">
        <v>0</v>
      </c>
      <c r="G25" s="21">
        <v>0</v>
      </c>
      <c r="H25" s="49">
        <f>30.58/1200</f>
        <v>2.5483333333333334E-2</v>
      </c>
      <c r="I25" s="8"/>
      <c r="J25" s="131"/>
      <c r="K25" s="132"/>
      <c r="L25" s="129"/>
      <c r="M25" s="129"/>
      <c r="N25" s="129"/>
      <c r="O25" s="133"/>
      <c r="P25" s="133"/>
      <c r="Q25" s="139"/>
      <c r="R25" s="107"/>
      <c r="S25" s="9" t="s">
        <v>215</v>
      </c>
      <c r="T25" s="30">
        <v>12</v>
      </c>
      <c r="U25" s="31">
        <f t="shared" si="15"/>
        <v>0</v>
      </c>
      <c r="V25" s="31">
        <f t="shared" si="16"/>
        <v>4.8</v>
      </c>
      <c r="W25" s="31">
        <f t="shared" si="17"/>
        <v>4</v>
      </c>
      <c r="X25" s="31">
        <f t="shared" si="18"/>
        <v>40</v>
      </c>
      <c r="Y25" s="31">
        <f t="shared" si="19"/>
        <v>2.7983333333333333</v>
      </c>
    </row>
    <row r="26" spans="1:32">
      <c r="A26" s="23" t="s">
        <v>61</v>
      </c>
      <c r="B26" s="24" t="s">
        <v>62</v>
      </c>
      <c r="C26" s="8" t="s">
        <v>31</v>
      </c>
      <c r="D26" s="21">
        <v>0.03</v>
      </c>
      <c r="E26" s="21">
        <v>1.03</v>
      </c>
      <c r="F26" s="21">
        <v>0.18</v>
      </c>
      <c r="G26" s="21">
        <v>4</v>
      </c>
      <c r="H26" s="49"/>
      <c r="I26" s="8"/>
      <c r="J26" s="15" t="s">
        <v>13</v>
      </c>
      <c r="K26" s="29" t="s">
        <v>77</v>
      </c>
      <c r="L26" s="29" t="s">
        <v>1</v>
      </c>
      <c r="M26" s="29" t="s">
        <v>3</v>
      </c>
      <c r="N26" s="29" t="s">
        <v>2</v>
      </c>
      <c r="O26" s="29" t="s">
        <v>4</v>
      </c>
      <c r="P26" s="38" t="s">
        <v>119</v>
      </c>
      <c r="Q26" s="117">
        <v>0.6875</v>
      </c>
      <c r="R26" s="107"/>
      <c r="S26" s="9" t="s">
        <v>254</v>
      </c>
      <c r="T26" s="30">
        <v>0</v>
      </c>
      <c r="U26" s="31" t="str">
        <f t="shared" si="15"/>
        <v>--</v>
      </c>
      <c r="V26" s="31" t="str">
        <f t="shared" si="16"/>
        <v>--</v>
      </c>
      <c r="W26" s="31" t="str">
        <f t="shared" si="17"/>
        <v>--</v>
      </c>
      <c r="X26" s="31" t="str">
        <f t="shared" si="18"/>
        <v>--</v>
      </c>
      <c r="Y26" s="31" t="str">
        <f t="shared" si="19"/>
        <v>--</v>
      </c>
    </row>
    <row r="27" spans="1:32">
      <c r="A27" s="23" t="s">
        <v>69</v>
      </c>
      <c r="B27" s="24" t="s">
        <v>70</v>
      </c>
      <c r="C27" s="8" t="s">
        <v>71</v>
      </c>
      <c r="D27" s="21">
        <v>4.97</v>
      </c>
      <c r="E27" s="21">
        <v>0.38</v>
      </c>
      <c r="F27" s="21">
        <v>6.29</v>
      </c>
      <c r="G27" s="21">
        <v>74</v>
      </c>
      <c r="H27" s="49">
        <f>3.79/18</f>
        <v>0.21055555555555555</v>
      </c>
      <c r="J27" s="9" t="s">
        <v>79</v>
      </c>
      <c r="K27" s="30">
        <v>2</v>
      </c>
      <c r="L27" s="31">
        <f>IFERROR(VLOOKUP($J27,$A$2:$G$991,4,FALSE)*$K27,"--")</f>
        <v>2</v>
      </c>
      <c r="M27" s="31">
        <f>IFERROR(VLOOKUP($J27,$A$2:$G$991,5,FALSE)*$K27,"--")</f>
        <v>6</v>
      </c>
      <c r="N27" s="31">
        <f>IFERROR(VLOOKUP($J27,$A$2:$G$991,6,FALSE)*$K27,"--")</f>
        <v>48</v>
      </c>
      <c r="O27" s="31">
        <f>IFERROR(VLOOKUP($J27,$A$2:$G$991,7,FALSE)*$K27,"--")</f>
        <v>240</v>
      </c>
      <c r="P27" s="31">
        <f>IFERROR(VLOOKUP($J27,$A$2:$H$991,8,FALSE)*$K27,"--")</f>
        <v>1.3225352112676056</v>
      </c>
      <c r="Q27" s="118"/>
      <c r="R27" s="107"/>
      <c r="S27" s="9" t="s">
        <v>254</v>
      </c>
      <c r="T27" s="30">
        <v>0</v>
      </c>
      <c r="U27" s="31" t="str">
        <f t="shared" si="15"/>
        <v>--</v>
      </c>
      <c r="V27" s="31" t="str">
        <f t="shared" si="16"/>
        <v>--</v>
      </c>
      <c r="W27" s="31" t="str">
        <f t="shared" si="17"/>
        <v>--</v>
      </c>
      <c r="X27" s="31" t="str">
        <f t="shared" si="18"/>
        <v>--</v>
      </c>
      <c r="Y27" s="31" t="str">
        <f t="shared" si="19"/>
        <v>--</v>
      </c>
    </row>
    <row r="28" spans="1:32">
      <c r="A28" s="23" t="s">
        <v>23</v>
      </c>
      <c r="B28" s="24" t="s">
        <v>72</v>
      </c>
      <c r="C28" s="8" t="s">
        <v>71</v>
      </c>
      <c r="D28" s="21">
        <v>0.06</v>
      </c>
      <c r="E28" s="21">
        <v>0.24</v>
      </c>
      <c r="F28" s="21">
        <v>3.6</v>
      </c>
      <c r="G28" s="21">
        <v>17</v>
      </c>
      <c r="H28" s="49">
        <f>3.79/18</f>
        <v>0.21055555555555555</v>
      </c>
      <c r="J28" s="17" t="s">
        <v>142</v>
      </c>
      <c r="K28" s="34">
        <v>1.5</v>
      </c>
      <c r="L28" s="31">
        <f t="shared" ref="L28:L29" si="20">IFERROR(VLOOKUP($J28,$A$2:$G$991,4,FALSE)*$K28,"--")</f>
        <v>0</v>
      </c>
      <c r="M28" s="31">
        <f t="shared" ref="M28:M29" si="21">IFERROR(VLOOKUP($J28,$A$2:$G$991,5,FALSE)*$K28,"--")</f>
        <v>52.5</v>
      </c>
      <c r="N28" s="31">
        <f t="shared" ref="N28:N29" si="22">IFERROR(VLOOKUP($J28,$A$2:$G$991,6,FALSE)*$K28,"--")</f>
        <v>0</v>
      </c>
      <c r="O28" s="31">
        <f t="shared" ref="O28:O29" si="23">IFERROR(VLOOKUP($J28,$A$2:$G$991,7,FALSE)*$K28,"--")</f>
        <v>210</v>
      </c>
      <c r="P28" s="31">
        <f t="shared" ref="P28:P29" si="24">IFERROR(VLOOKUP($J28,$A$2:$H$991,8,FALSE)*$K28,"--")</f>
        <v>0.43779999999999997</v>
      </c>
      <c r="Q28" s="139"/>
      <c r="R28" s="108"/>
      <c r="S28" s="9" t="s">
        <v>254</v>
      </c>
      <c r="T28" s="30">
        <v>0</v>
      </c>
      <c r="U28" s="31" t="str">
        <f t="shared" si="15"/>
        <v>--</v>
      </c>
      <c r="V28" s="31" t="str">
        <f t="shared" si="16"/>
        <v>--</v>
      </c>
      <c r="W28" s="31" t="str">
        <f t="shared" si="17"/>
        <v>--</v>
      </c>
      <c r="X28" s="31" t="str">
        <f t="shared" si="18"/>
        <v>--</v>
      </c>
      <c r="Y28" s="31" t="str">
        <f t="shared" si="19"/>
        <v>--</v>
      </c>
    </row>
    <row r="29" spans="1:32">
      <c r="A29" s="23" t="s">
        <v>73</v>
      </c>
      <c r="B29" s="24" t="s">
        <v>74</v>
      </c>
      <c r="C29" s="8" t="s">
        <v>71</v>
      </c>
      <c r="D29" s="21">
        <v>4.51</v>
      </c>
      <c r="E29" s="21">
        <v>0.61</v>
      </c>
      <c r="F29" s="21">
        <v>2.7</v>
      </c>
      <c r="G29" s="21">
        <v>55</v>
      </c>
      <c r="H29" s="49">
        <f>3.79/18</f>
        <v>0.21055555555555555</v>
      </c>
      <c r="J29" s="17" t="s">
        <v>165</v>
      </c>
      <c r="K29" s="34">
        <v>5</v>
      </c>
      <c r="L29" s="31">
        <f t="shared" si="20"/>
        <v>0</v>
      </c>
      <c r="M29" s="31">
        <f t="shared" si="21"/>
        <v>0</v>
      </c>
      <c r="N29" s="31">
        <f t="shared" si="22"/>
        <v>0</v>
      </c>
      <c r="O29" s="31">
        <f t="shared" si="23"/>
        <v>0</v>
      </c>
      <c r="P29" s="31">
        <f t="shared" si="24"/>
        <v>0.1525</v>
      </c>
      <c r="Q29" s="139"/>
      <c r="R29" s="107"/>
      <c r="S29" s="27"/>
      <c r="T29" s="32"/>
      <c r="U29" s="33">
        <f>SUM(U22:U28)</f>
        <v>1.5</v>
      </c>
      <c r="V29" s="33">
        <f>SUM(V22:V28)</f>
        <v>66.908695652173918</v>
      </c>
      <c r="W29" s="33">
        <f>SUM(W22:W28)</f>
        <v>55.652173913043477</v>
      </c>
      <c r="X29" s="33">
        <f>SUM(X22:X28)</f>
        <v>516.52173913043475</v>
      </c>
      <c r="Y29" s="33">
        <f>SUM(Y22:Y28)</f>
        <v>4.5147101041028783</v>
      </c>
    </row>
    <row r="30" spans="1:32">
      <c r="A30" s="23" t="s">
        <v>63</v>
      </c>
      <c r="B30" s="24" t="s">
        <v>8</v>
      </c>
      <c r="C30" s="8" t="s">
        <v>31</v>
      </c>
      <c r="D30" s="21">
        <v>0.05</v>
      </c>
      <c r="E30" s="21">
        <v>1.62</v>
      </c>
      <c r="F30" s="21">
        <v>0.28999999999999998</v>
      </c>
      <c r="G30" s="21">
        <v>7</v>
      </c>
      <c r="H30" s="49">
        <f>0.79/16</f>
        <v>4.9375000000000002E-2</v>
      </c>
      <c r="J30" s="17" t="s">
        <v>240</v>
      </c>
      <c r="K30" s="34">
        <v>5</v>
      </c>
      <c r="L30" s="31">
        <f>IFERROR(VLOOKUP($J30,$A$2:$G$991,4,FALSE)*$K30,"--")</f>
        <v>0</v>
      </c>
      <c r="M30" s="31">
        <f>IFERROR(VLOOKUP($J30,$A$2:$G$991,5,FALSE)*$K30,"--")</f>
        <v>0</v>
      </c>
      <c r="N30" s="31">
        <f>IFERROR(VLOOKUP($J30,$A$2:$G$991,6,FALSE)*$K30,"--")</f>
        <v>0</v>
      </c>
      <c r="O30" s="31">
        <f>IFERROR(VLOOKUP($J30,$A$2:$G$991,7,FALSE)*$K30,"--")</f>
        <v>0</v>
      </c>
      <c r="P30" s="31">
        <f>IFERROR(VLOOKUP($J30,$A$2:$H$991,8,FALSE)*$K30,"--")</f>
        <v>0.12741666666666668</v>
      </c>
      <c r="Q30" s="118"/>
      <c r="R30" s="109"/>
    </row>
    <row r="31" spans="1:32">
      <c r="A31" s="23" t="s">
        <v>59</v>
      </c>
      <c r="B31" s="24" t="s">
        <v>60</v>
      </c>
      <c r="C31" s="8" t="s">
        <v>78</v>
      </c>
      <c r="D31" s="21">
        <v>1.5</v>
      </c>
      <c r="E31" s="21">
        <v>14</v>
      </c>
      <c r="F31" s="21">
        <v>4</v>
      </c>
      <c r="G31" s="21">
        <v>80</v>
      </c>
      <c r="H31" s="49">
        <f>3.49/20</f>
        <v>0.17450000000000002</v>
      </c>
      <c r="J31" s="17" t="s">
        <v>215</v>
      </c>
      <c r="K31" s="34">
        <v>12</v>
      </c>
      <c r="L31" s="31">
        <f>IFERROR(VLOOKUP($J31,$A$2:$G$991,4,FALSE)*$K31,"--")</f>
        <v>0</v>
      </c>
      <c r="M31" s="31">
        <f>IFERROR(VLOOKUP($J31,$A$2:$G$991,5,FALSE)*$K31,"--")</f>
        <v>4.8</v>
      </c>
      <c r="N31" s="31">
        <f>IFERROR(VLOOKUP($J31,$A$2:$G$991,6,FALSE)*$K31,"--")</f>
        <v>4</v>
      </c>
      <c r="O31" s="31">
        <f>IFERROR(VLOOKUP($J31,$A$2:$G$991,7,FALSE)*$K31,"--")</f>
        <v>40</v>
      </c>
      <c r="P31" s="31">
        <f>IFERROR(VLOOKUP($J31,$A$2:$H$991,8,FALSE)*$K31,"--")</f>
        <v>2.7983333333333333</v>
      </c>
      <c r="Q31" s="118"/>
      <c r="R31" s="109"/>
    </row>
    <row r="32" spans="1:32">
      <c r="A32" s="23" t="s">
        <v>109</v>
      </c>
      <c r="B32" s="24" t="s">
        <v>110</v>
      </c>
      <c r="C32" s="8" t="s">
        <v>31</v>
      </c>
      <c r="D32" s="21">
        <f>16/4</f>
        <v>4</v>
      </c>
      <c r="E32" s="21">
        <v>0</v>
      </c>
      <c r="F32" s="21">
        <f>48/6</f>
        <v>8</v>
      </c>
      <c r="G32" s="21">
        <f>348/6</f>
        <v>58</v>
      </c>
      <c r="H32" s="49"/>
      <c r="J32" s="27"/>
      <c r="K32" s="32"/>
      <c r="L32" s="33">
        <f>SUM(L27:L31)</f>
        <v>2</v>
      </c>
      <c r="M32" s="33">
        <f>SUM(M27:M31)</f>
        <v>63.3</v>
      </c>
      <c r="N32" s="33">
        <f>SUM(N27:N31)</f>
        <v>52</v>
      </c>
      <c r="O32" s="33">
        <f>SUM(O27:O31)</f>
        <v>490</v>
      </c>
      <c r="P32" s="33">
        <f>SUM(P27:P31)</f>
        <v>4.8385852112676062</v>
      </c>
      <c r="Q32" s="118"/>
      <c r="R32" s="109"/>
    </row>
    <row r="33" spans="1:18">
      <c r="A33" s="23" t="s">
        <v>85</v>
      </c>
      <c r="B33" s="24" t="s">
        <v>189</v>
      </c>
      <c r="C33" s="8" t="s">
        <v>57</v>
      </c>
      <c r="D33" s="21">
        <f>14/13</f>
        <v>1.0769230769230769</v>
      </c>
      <c r="E33" s="21">
        <v>0</v>
      </c>
      <c r="F33" s="21">
        <v>0</v>
      </c>
      <c r="G33" s="21">
        <f>120/13</f>
        <v>9.2307692307692299</v>
      </c>
      <c r="H33" s="49">
        <f>1.03/28.3495231</f>
        <v>3.633218084010733E-2</v>
      </c>
      <c r="J33" s="130"/>
      <c r="K33" s="130"/>
      <c r="L33" s="129">
        <f>(L32*$Y$2)/($L32*$Y$2+$M32*$Y$3+$N32*$Y$4)</f>
        <v>3.7326260989145918E-2</v>
      </c>
      <c r="M33" s="129">
        <f>(M32*$Y$3)/($L32*$Y$2+$M32*$Y$3+$N32*$Y$4)</f>
        <v>0.52851038750552526</v>
      </c>
      <c r="N33" s="129">
        <f>(N32*$Y$4)/($L32*$Y$2+$M32*$Y$3+$N32*$Y$4)</f>
        <v>0.43416335150532875</v>
      </c>
      <c r="O33" s="130"/>
      <c r="P33" s="130"/>
      <c r="Q33" s="118"/>
      <c r="R33" s="109"/>
    </row>
    <row r="34" spans="1:18">
      <c r="A34" s="23" t="s">
        <v>165</v>
      </c>
      <c r="B34" s="24" t="s">
        <v>166</v>
      </c>
      <c r="C34" s="8" t="s">
        <v>57</v>
      </c>
      <c r="D34" s="21">
        <v>0</v>
      </c>
      <c r="E34" s="21">
        <v>0</v>
      </c>
      <c r="F34" s="21">
        <v>0</v>
      </c>
      <c r="G34" s="21">
        <v>0</v>
      </c>
      <c r="H34" s="49">
        <f>30.5/1000</f>
        <v>3.0499999999999999E-2</v>
      </c>
      <c r="J34" s="11"/>
      <c r="K34" s="30"/>
      <c r="L34" s="30"/>
      <c r="M34" s="31"/>
      <c r="N34" s="31"/>
      <c r="O34" s="31"/>
      <c r="P34" s="31"/>
      <c r="Q34" s="118"/>
    </row>
    <row r="35" spans="1:18">
      <c r="A35" s="23" t="s">
        <v>48</v>
      </c>
      <c r="B35" s="24" t="s">
        <v>49</v>
      </c>
      <c r="C35" s="8" t="s">
        <v>31</v>
      </c>
      <c r="D35" s="21">
        <v>0.03</v>
      </c>
      <c r="E35" s="21">
        <v>2.02</v>
      </c>
      <c r="F35" s="21">
        <v>0.52</v>
      </c>
      <c r="G35" s="21">
        <v>9</v>
      </c>
      <c r="H35" s="49">
        <f>0.59/16</f>
        <v>3.6874999999999998E-2</v>
      </c>
      <c r="J35" s="15" t="s">
        <v>16</v>
      </c>
      <c r="K35" s="29" t="s">
        <v>77</v>
      </c>
      <c r="L35" s="29" t="s">
        <v>1</v>
      </c>
      <c r="M35" s="29" t="s">
        <v>3</v>
      </c>
      <c r="N35" s="29" t="s">
        <v>2</v>
      </c>
      <c r="O35" s="29" t="s">
        <v>4</v>
      </c>
      <c r="P35" s="38" t="s">
        <v>119</v>
      </c>
      <c r="Q35" s="118">
        <v>0.75</v>
      </c>
      <c r="R35" s="110"/>
    </row>
    <row r="36" spans="1:18">
      <c r="A36" s="23" t="s">
        <v>111</v>
      </c>
      <c r="B36" s="24" t="s">
        <v>8</v>
      </c>
      <c r="C36" s="8" t="s">
        <v>31</v>
      </c>
      <c r="D36" s="21">
        <v>0.05</v>
      </c>
      <c r="E36" s="21">
        <v>1.32</v>
      </c>
      <c r="F36" s="21">
        <v>0.24</v>
      </c>
      <c r="G36" s="21">
        <v>6</v>
      </c>
      <c r="H36" s="50">
        <f>0.69/16</f>
        <v>4.3124999999999997E-2</v>
      </c>
      <c r="J36" s="9" t="s">
        <v>93</v>
      </c>
      <c r="K36" s="30">
        <v>6</v>
      </c>
      <c r="L36" s="31">
        <f>IFERROR(VLOOKUP($J36,$A$2:$G$991,4,FALSE)*$K36,"--")</f>
        <v>2.25</v>
      </c>
      <c r="M36" s="31">
        <f>IFERROR(VLOOKUP($J36,$A$2:$G$991,5,FALSE)*$K36,"--")</f>
        <v>0</v>
      </c>
      <c r="N36" s="31">
        <f>IFERROR(VLOOKUP($J36,$A$2:$G$991,6,FALSE)*$K36,"--")</f>
        <v>39</v>
      </c>
      <c r="O36" s="31">
        <f>IFERROR(VLOOKUP($J36,$A$2:$G$991,7,FALSE)*$K36,"--")</f>
        <v>180</v>
      </c>
      <c r="P36" s="31">
        <f>IFERROR(VLOOKUP($J36,$A$2:$H$991,8,FALSE)*$K36,"--")</f>
        <v>1.1212500000000001</v>
      </c>
      <c r="Q36" s="118"/>
      <c r="R36" s="109"/>
    </row>
    <row r="37" spans="1:18">
      <c r="A37" s="23" t="s">
        <v>87</v>
      </c>
      <c r="B37" s="24" t="s">
        <v>128</v>
      </c>
      <c r="C37" s="8" t="s">
        <v>127</v>
      </c>
      <c r="D37" s="21">
        <v>0</v>
      </c>
      <c r="E37" s="21">
        <v>0</v>
      </c>
      <c r="F37" s="21">
        <v>0</v>
      </c>
      <c r="G37" s="21">
        <v>0</v>
      </c>
      <c r="H37" s="49">
        <v>0.13</v>
      </c>
      <c r="J37" s="17" t="s">
        <v>25</v>
      </c>
      <c r="K37" s="34">
        <v>8</v>
      </c>
      <c r="L37" s="31">
        <f>IFERROR(VLOOKUP($J37,$A$2:$G$991,4,FALSE)*$K37,"--")</f>
        <v>1.76</v>
      </c>
      <c r="M37" s="31">
        <f>IFERROR(VLOOKUP($J37,$A$2:$G$991,5,FALSE)*$K37,"--")</f>
        <v>44.4</v>
      </c>
      <c r="N37" s="31">
        <f>IFERROR(VLOOKUP($J37,$A$2:$G$991,6,FALSE)*$K37,"--")</f>
        <v>4.96</v>
      </c>
      <c r="O37" s="31">
        <f>IFERROR(VLOOKUP($J37,$A$2:$G$991,7,FALSE)*$K37,"--")</f>
        <v>215.04</v>
      </c>
      <c r="P37" s="31">
        <f>IFERROR(VLOOKUP($J37,$A$2:$H$991,8,FALSE)*$K37,"--")</f>
        <v>0.48</v>
      </c>
      <c r="Q37" s="118"/>
      <c r="R37" s="109"/>
    </row>
    <row r="38" spans="1:18">
      <c r="A38" s="23" t="s">
        <v>192</v>
      </c>
      <c r="B38" s="24" t="s">
        <v>193</v>
      </c>
      <c r="C38" s="8" t="s">
        <v>31</v>
      </c>
      <c r="D38" s="21">
        <v>0</v>
      </c>
      <c r="E38" s="21">
        <f>28.3495231/16</f>
        <v>1.7718451937499999</v>
      </c>
      <c r="F38" s="21">
        <v>0</v>
      </c>
      <c r="G38" s="21">
        <f>(28.3495231/16)*5</f>
        <v>8.8592259687499997</v>
      </c>
      <c r="H38" s="49">
        <f>3.99/14</f>
        <v>0.28500000000000003</v>
      </c>
      <c r="J38" s="17" t="s">
        <v>12</v>
      </c>
      <c r="K38" s="34">
        <v>6</v>
      </c>
      <c r="L38" s="31">
        <f>IFERROR(VLOOKUP($J38,$A$2:$G$991,4,FALSE)*$K38,"--")</f>
        <v>0.72</v>
      </c>
      <c r="M38" s="31">
        <f>IFERROR(VLOOKUP($J38,$A$2:$G$991,5,FALSE)*$K38,"--")</f>
        <v>12.120000000000001</v>
      </c>
      <c r="N38" s="31">
        <f>IFERROR(VLOOKUP($J38,$A$2:$G$991,6,FALSE)*$K38,"--")</f>
        <v>4.0200000000000005</v>
      </c>
      <c r="O38" s="31">
        <f>IFERROR(VLOOKUP($J38,$A$2:$G$991,7,FALSE)*$K38,"--")</f>
        <v>60</v>
      </c>
      <c r="P38" s="31">
        <f>IFERROR(VLOOKUP($J38,$A$2:$H$991,8,FALSE)*$K38,"--")</f>
        <v>0.375</v>
      </c>
      <c r="Q38" s="118"/>
      <c r="R38" s="109"/>
    </row>
    <row r="39" spans="1:18">
      <c r="A39" s="8" t="s">
        <v>115</v>
      </c>
      <c r="B39" s="41" t="s">
        <v>8</v>
      </c>
      <c r="C39" s="8" t="s">
        <v>31</v>
      </c>
      <c r="D39" s="8">
        <v>0.12</v>
      </c>
      <c r="E39" s="8">
        <v>1.82</v>
      </c>
      <c r="F39" s="8">
        <v>0.95</v>
      </c>
      <c r="G39" s="8">
        <v>10</v>
      </c>
      <c r="H39" s="50">
        <f>1.99/16</f>
        <v>0.124375</v>
      </c>
      <c r="J39" s="27"/>
      <c r="K39" s="32"/>
      <c r="L39" s="33">
        <f>SUM(L36:L38)</f>
        <v>4.7299999999999995</v>
      </c>
      <c r="M39" s="33">
        <f>SUM(M36:M38)</f>
        <v>56.519999999999996</v>
      </c>
      <c r="N39" s="33">
        <f>SUM(N36:N38)</f>
        <v>47.980000000000004</v>
      </c>
      <c r="O39" s="33">
        <f>SUM(O36:O38)</f>
        <v>455.03999999999996</v>
      </c>
      <c r="P39" s="33">
        <f>SUM(P36:P38)</f>
        <v>1.9762500000000001</v>
      </c>
      <c r="Q39" s="118"/>
      <c r="R39" s="109"/>
    </row>
    <row r="40" spans="1:18">
      <c r="A40" s="23" t="s">
        <v>67</v>
      </c>
      <c r="B40" s="24" t="s">
        <v>68</v>
      </c>
      <c r="C40" s="8" t="s">
        <v>31</v>
      </c>
      <c r="D40" s="21">
        <v>0.09</v>
      </c>
      <c r="E40" s="21">
        <v>0.93</v>
      </c>
      <c r="F40" s="21">
        <v>0.35</v>
      </c>
      <c r="G40" s="21">
        <v>5</v>
      </c>
      <c r="H40" s="49"/>
      <c r="J40" s="131"/>
      <c r="K40" s="132"/>
      <c r="L40" s="129">
        <f>(L39*$Y$2)/($L39*$Y$2+$M39*$Y$3+$N39*$Y$4)</f>
        <v>9.1880341880341873E-2</v>
      </c>
      <c r="M40" s="129">
        <f>(M39*$Y$3)/($L39*$Y$2+$M39*$Y$3+$N39*$Y$4)</f>
        <v>0.49116672800883326</v>
      </c>
      <c r="N40" s="129">
        <f>(N39*$Y$4)/($L39*$Y$2+$M39*$Y$3+$N39*$Y$4)</f>
        <v>0.4169529301108249</v>
      </c>
      <c r="O40" s="133"/>
      <c r="P40" s="133"/>
      <c r="Q40" s="138"/>
      <c r="R40" s="109"/>
    </row>
    <row r="41" spans="1:18">
      <c r="A41" s="23" t="s">
        <v>92</v>
      </c>
      <c r="B41" s="24" t="s">
        <v>91</v>
      </c>
      <c r="C41" s="8" t="s">
        <v>31</v>
      </c>
      <c r="D41" s="21">
        <f>1/1.6226*0</f>
        <v>0</v>
      </c>
      <c r="E41" s="21">
        <f>1/1.6226*0</f>
        <v>0</v>
      </c>
      <c r="F41" s="21">
        <f>1/1.6226*5</f>
        <v>3.0814741772463945</v>
      </c>
      <c r="G41" s="21">
        <f>1/1.6226*25</f>
        <v>15.407370886231972</v>
      </c>
      <c r="H41" s="49">
        <f>2.19/16</f>
        <v>0.136875</v>
      </c>
      <c r="J41" s="11"/>
      <c r="K41" s="30"/>
      <c r="L41" s="30"/>
      <c r="M41" s="31"/>
      <c r="N41" s="31"/>
      <c r="O41" s="31"/>
      <c r="P41" s="31"/>
      <c r="Q41" s="118"/>
      <c r="R41" s="110"/>
    </row>
    <row r="42" spans="1:18">
      <c r="A42" s="23" t="s">
        <v>97</v>
      </c>
      <c r="B42" s="24" t="s">
        <v>98</v>
      </c>
      <c r="C42" s="8" t="s">
        <v>31</v>
      </c>
      <c r="D42" s="21">
        <v>0</v>
      </c>
      <c r="E42" s="21">
        <f>13/8.625</f>
        <v>1.5072463768115942</v>
      </c>
      <c r="F42" s="21">
        <f>9/8.625</f>
        <v>1.0434782608695652</v>
      </c>
      <c r="G42" s="21">
        <f>90/8.625</f>
        <v>10.434782608695652</v>
      </c>
      <c r="H42" s="50">
        <f>1.99/(8.625*8)</f>
        <v>2.8840579710144927E-2</v>
      </c>
      <c r="J42" s="15" t="s">
        <v>18</v>
      </c>
      <c r="K42" s="29" t="s">
        <v>77</v>
      </c>
      <c r="L42" s="29" t="s">
        <v>1</v>
      </c>
      <c r="M42" s="29" t="s">
        <v>3</v>
      </c>
      <c r="N42" s="29" t="s">
        <v>2</v>
      </c>
      <c r="O42" s="29" t="s">
        <v>4</v>
      </c>
      <c r="P42" s="38" t="s">
        <v>119</v>
      </c>
      <c r="Q42" s="118">
        <v>0.85416666666666663</v>
      </c>
      <c r="R42" s="109"/>
    </row>
    <row r="43" spans="1:18">
      <c r="A43" s="23" t="s">
        <v>163</v>
      </c>
      <c r="B43" s="24" t="s">
        <v>164</v>
      </c>
      <c r="C43" s="8" t="s">
        <v>32</v>
      </c>
      <c r="D43" s="21">
        <v>0</v>
      </c>
      <c r="E43" s="21">
        <v>0</v>
      </c>
      <c r="F43" s="21">
        <v>0</v>
      </c>
      <c r="G43" s="21">
        <v>0</v>
      </c>
      <c r="H43" s="49">
        <f>25.79/70</f>
        <v>0.36842857142857144</v>
      </c>
      <c r="J43" s="9" t="s">
        <v>93</v>
      </c>
      <c r="K43" s="30">
        <v>6</v>
      </c>
      <c r="L43" s="31">
        <f t="shared" ref="L43:L45" si="25">IFERROR(VLOOKUP($J43,$A$2:$G$991,4,FALSE)*$K43,"--")</f>
        <v>2.25</v>
      </c>
      <c r="M43" s="31">
        <f t="shared" ref="M43:M45" si="26">IFERROR(VLOOKUP($J43,$A$2:$G$991,5,FALSE)*$K43,"--")</f>
        <v>0</v>
      </c>
      <c r="N43" s="31">
        <f t="shared" ref="N43:N45" si="27">IFERROR(VLOOKUP($J43,$A$2:$G$991,6,FALSE)*$K43,"--")</f>
        <v>39</v>
      </c>
      <c r="O43" s="31">
        <f t="shared" ref="O43:O45" si="28">IFERROR(VLOOKUP($J43,$A$2:$G$991,7,FALSE)*$K43,"--")</f>
        <v>180</v>
      </c>
      <c r="P43" s="31">
        <f t="shared" ref="P43:P45" si="29">IFERROR(VLOOKUP($J43,$A$2:$H$991,8,FALSE)*$K43,"--")</f>
        <v>1.1212500000000001</v>
      </c>
      <c r="Q43" s="139"/>
      <c r="R43" s="109"/>
    </row>
    <row r="44" spans="1:18">
      <c r="A44" s="23" t="s">
        <v>201</v>
      </c>
      <c r="B44" s="24" t="s">
        <v>202</v>
      </c>
      <c r="C44" s="8" t="s">
        <v>31</v>
      </c>
      <c r="D44" s="21">
        <v>5</v>
      </c>
      <c r="E44" s="21">
        <v>0</v>
      </c>
      <c r="F44" s="21">
        <v>8</v>
      </c>
      <c r="G44" s="21">
        <v>80</v>
      </c>
      <c r="H44" s="49">
        <f>3.99/12</f>
        <v>0.33250000000000002</v>
      </c>
      <c r="J44" s="9" t="s">
        <v>25</v>
      </c>
      <c r="K44" s="30">
        <v>7</v>
      </c>
      <c r="L44" s="31">
        <f t="shared" si="25"/>
        <v>1.54</v>
      </c>
      <c r="M44" s="31">
        <f t="shared" si="26"/>
        <v>38.85</v>
      </c>
      <c r="N44" s="31">
        <f t="shared" si="27"/>
        <v>4.34</v>
      </c>
      <c r="O44" s="31">
        <f t="shared" si="28"/>
        <v>188.16</v>
      </c>
      <c r="P44" s="31">
        <f t="shared" si="29"/>
        <v>0.42</v>
      </c>
      <c r="Q44" s="139"/>
      <c r="R44" s="109"/>
    </row>
    <row r="45" spans="1:18">
      <c r="A45" s="25" t="s">
        <v>88</v>
      </c>
      <c r="B45" s="26" t="s">
        <v>129</v>
      </c>
      <c r="C45" s="8" t="s">
        <v>130</v>
      </c>
      <c r="D45" s="22">
        <v>0</v>
      </c>
      <c r="E45" s="22">
        <v>0</v>
      </c>
      <c r="F45" s="22">
        <v>0</v>
      </c>
      <c r="G45" s="22">
        <v>0</v>
      </c>
      <c r="H45" s="51">
        <f>27.18/180</f>
        <v>0.151</v>
      </c>
      <c r="J45" s="17" t="s">
        <v>12</v>
      </c>
      <c r="K45" s="34">
        <v>6</v>
      </c>
      <c r="L45" s="31">
        <f t="shared" si="25"/>
        <v>0.72</v>
      </c>
      <c r="M45" s="31">
        <f t="shared" si="26"/>
        <v>12.120000000000001</v>
      </c>
      <c r="N45" s="31">
        <f t="shared" si="27"/>
        <v>4.0200000000000005</v>
      </c>
      <c r="O45" s="31">
        <f t="shared" si="28"/>
        <v>60</v>
      </c>
      <c r="P45" s="31">
        <f t="shared" si="29"/>
        <v>0.375</v>
      </c>
      <c r="Q45" s="139"/>
      <c r="R45" s="109"/>
    </row>
    <row r="46" spans="1:18">
      <c r="A46" s="23" t="s">
        <v>22</v>
      </c>
      <c r="B46" s="24" t="s">
        <v>20</v>
      </c>
      <c r="C46" s="8" t="s">
        <v>31</v>
      </c>
      <c r="D46" s="21">
        <v>1.67</v>
      </c>
      <c r="E46" s="21">
        <v>17.78</v>
      </c>
      <c r="F46" s="21">
        <v>4.25</v>
      </c>
      <c r="G46" s="21">
        <v>102</v>
      </c>
      <c r="H46" s="49">
        <f>4.39/42</f>
        <v>0.10452380952380952</v>
      </c>
      <c r="J46" s="32"/>
      <c r="K46" s="32"/>
      <c r="L46" s="33">
        <f>SUM(L43:L45)</f>
        <v>4.51</v>
      </c>
      <c r="M46" s="33">
        <f>SUM(M43:M45)</f>
        <v>50.97</v>
      </c>
      <c r="N46" s="33">
        <f>SUM(N43:N45)</f>
        <v>47.360000000000007</v>
      </c>
      <c r="O46" s="33">
        <f>SUM(O43:O45)</f>
        <v>428.15999999999997</v>
      </c>
      <c r="P46" s="33">
        <f>SUM(P43:P45)</f>
        <v>1.91625</v>
      </c>
      <c r="Q46" s="139"/>
      <c r="R46" s="109"/>
    </row>
    <row r="47" spans="1:18">
      <c r="A47" s="23" t="s">
        <v>102</v>
      </c>
      <c r="B47" s="24" t="s">
        <v>101</v>
      </c>
      <c r="C47" s="8" t="s">
        <v>31</v>
      </c>
      <c r="D47" s="21">
        <v>0.02</v>
      </c>
      <c r="E47" s="21">
        <v>2.14</v>
      </c>
      <c r="F47" s="21">
        <v>0.23</v>
      </c>
      <c r="G47" s="21">
        <v>9</v>
      </c>
      <c r="H47" s="50"/>
      <c r="J47" s="131"/>
      <c r="K47" s="132"/>
      <c r="L47" s="129">
        <f>(L46*$Y$2)/($L46*$Y$2+$M46*$Y$3+$N46*$Y$4)</f>
        <v>9.2990195280495291E-2</v>
      </c>
      <c r="M47" s="129">
        <f>(M46*$Y$3)/($L46*$Y$2+$M46*$Y$3+$N46*$Y$4)</f>
        <v>0.47015447723536208</v>
      </c>
      <c r="N47" s="129">
        <f>(N46*$Y$4)/($L46*$Y$2+$M46*$Y$3+$N46*$Y$4)</f>
        <v>0.43685532748414269</v>
      </c>
      <c r="O47" s="133"/>
      <c r="P47" s="133"/>
      <c r="Q47" s="139"/>
      <c r="R47" s="109"/>
    </row>
    <row r="48" spans="1:18">
      <c r="A48" s="23" t="s">
        <v>243</v>
      </c>
      <c r="B48" s="24" t="s">
        <v>244</v>
      </c>
      <c r="C48" s="8" t="s">
        <v>57</v>
      </c>
      <c r="D48" s="21">
        <f>5/28.3495231</f>
        <v>0.17636980990343362</v>
      </c>
      <c r="E48" s="21">
        <f>7/28.3495231</f>
        <v>0.24691773386480706</v>
      </c>
      <c r="F48" s="21">
        <f>13/28.3495231</f>
        <v>0.4585615057489274</v>
      </c>
      <c r="G48" s="21">
        <f>130/28.3495231</f>
        <v>4.5856150574892744</v>
      </c>
      <c r="H48" s="49">
        <f>13/(20*28.3495231)</f>
        <v>2.2928075287446371E-2</v>
      </c>
      <c r="J48" s="11"/>
      <c r="K48" s="30"/>
      <c r="L48" s="30"/>
      <c r="M48" s="31"/>
      <c r="N48" s="31"/>
      <c r="O48" s="31"/>
      <c r="P48" s="31"/>
      <c r="Q48" s="139"/>
      <c r="R48" s="110"/>
    </row>
    <row r="49" spans="1:18">
      <c r="A49" s="23" t="s">
        <v>64</v>
      </c>
      <c r="B49" s="24" t="s">
        <v>65</v>
      </c>
      <c r="C49" s="8" t="s">
        <v>31</v>
      </c>
      <c r="D49" s="21">
        <v>0.21</v>
      </c>
      <c r="E49" s="21">
        <v>1.44</v>
      </c>
      <c r="F49" s="21">
        <v>1.1599999999999999</v>
      </c>
      <c r="G49" s="21">
        <v>10</v>
      </c>
      <c r="H49" s="49"/>
      <c r="J49" s="15" t="s">
        <v>19</v>
      </c>
      <c r="K49" s="29" t="s">
        <v>77</v>
      </c>
      <c r="L49" s="29" t="s">
        <v>1</v>
      </c>
      <c r="M49" s="29" t="s">
        <v>3</v>
      </c>
      <c r="N49" s="29" t="s">
        <v>2</v>
      </c>
      <c r="O49" s="29" t="s">
        <v>4</v>
      </c>
      <c r="P49" s="38" t="s">
        <v>119</v>
      </c>
      <c r="Q49" s="118">
        <v>0.95833333333333337</v>
      </c>
      <c r="R49" s="109"/>
    </row>
    <row r="50" spans="1:18">
      <c r="A50" s="23" t="s">
        <v>105</v>
      </c>
      <c r="B50" s="24" t="s">
        <v>106</v>
      </c>
      <c r="C50" s="8" t="s">
        <v>31</v>
      </c>
      <c r="D50" s="21">
        <v>3.5</v>
      </c>
      <c r="E50" s="21">
        <v>0</v>
      </c>
      <c r="F50" s="21">
        <v>6.3</v>
      </c>
      <c r="G50" s="21">
        <v>58</v>
      </c>
      <c r="H50" s="50">
        <f>7.99/16</f>
        <v>0.49937500000000001</v>
      </c>
      <c r="J50" s="10" t="s">
        <v>105</v>
      </c>
      <c r="K50" s="30">
        <v>6</v>
      </c>
      <c r="L50" s="31">
        <f>IFERROR(VLOOKUP($J50,$A$2:$G$991,4,FALSE)*$K50,"--")</f>
        <v>21</v>
      </c>
      <c r="M50" s="31">
        <f>IFERROR(VLOOKUP($J50,$A$2:$G$991,5,FALSE)*$K50,"--")</f>
        <v>0</v>
      </c>
      <c r="N50" s="31">
        <f>IFERROR(VLOOKUP($J50,$A$2:$G$991,6,FALSE)*$K50,"--")</f>
        <v>37.799999999999997</v>
      </c>
      <c r="O50" s="31">
        <f>IFERROR(VLOOKUP($J50,$A$2:$G$991,7,FALSE)*$K50,"--")</f>
        <v>348</v>
      </c>
      <c r="P50" s="31">
        <f>IFERROR(VLOOKUP($J50,$A$2:$H$991,8,FALSE)*$K50,"--")</f>
        <v>2.9962499999999999</v>
      </c>
      <c r="Q50" s="139"/>
      <c r="R50" s="109"/>
    </row>
    <row r="51" spans="1:18">
      <c r="A51" s="23" t="s">
        <v>190</v>
      </c>
      <c r="B51" s="24" t="s">
        <v>191</v>
      </c>
      <c r="C51" s="8" t="s">
        <v>31</v>
      </c>
      <c r="D51" s="21">
        <v>0</v>
      </c>
      <c r="E51" s="21">
        <v>2</v>
      </c>
      <c r="F51" s="21">
        <v>0</v>
      </c>
      <c r="G51" s="21">
        <v>10</v>
      </c>
      <c r="H51" s="49">
        <f>5.79/70</f>
        <v>8.2714285714285712E-2</v>
      </c>
      <c r="J51" s="10" t="s">
        <v>25</v>
      </c>
      <c r="K51" s="30">
        <v>4</v>
      </c>
      <c r="L51" s="31">
        <f>IFERROR(VLOOKUP($J51,$A$2:$G$991,4,FALSE)*$K51,"--")</f>
        <v>0.88</v>
      </c>
      <c r="M51" s="31">
        <f>IFERROR(VLOOKUP($J51,$A$2:$G$991,5,FALSE)*$K51,"--")</f>
        <v>22.2</v>
      </c>
      <c r="N51" s="31">
        <f>IFERROR(VLOOKUP($J51,$A$2:$G$991,6,FALSE)*$K51,"--")</f>
        <v>2.48</v>
      </c>
      <c r="O51" s="31">
        <f>IFERROR(VLOOKUP($J51,$A$2:$G$991,7,FALSE)*$K51,"--")</f>
        <v>107.52</v>
      </c>
      <c r="P51" s="31">
        <f>IFERROR(VLOOKUP($J51,$A$2:$H$991,8,FALSE)*$K51,"--")</f>
        <v>0.24</v>
      </c>
      <c r="Q51" s="139"/>
      <c r="R51" s="109"/>
    </row>
    <row r="52" spans="1:18">
      <c r="A52" s="23" t="s">
        <v>27</v>
      </c>
      <c r="B52" s="24" t="s">
        <v>81</v>
      </c>
      <c r="C52" s="8" t="s">
        <v>32</v>
      </c>
      <c r="D52" s="21">
        <v>0</v>
      </c>
      <c r="E52" s="21">
        <v>39</v>
      </c>
      <c r="F52" s="21">
        <v>7</v>
      </c>
      <c r="G52" s="21">
        <v>180</v>
      </c>
      <c r="H52" s="49">
        <f>38.98/24</f>
        <v>1.6241666666666665</v>
      </c>
      <c r="J52" s="10" t="s">
        <v>12</v>
      </c>
      <c r="K52" s="30">
        <v>6</v>
      </c>
      <c r="L52" s="31">
        <f>IFERROR(VLOOKUP($J52,$A$2:$G$991,4,FALSE)*$K52,"--")</f>
        <v>0.72</v>
      </c>
      <c r="M52" s="31">
        <f>IFERROR(VLOOKUP($J52,$A$2:$G$991,5,FALSE)*$K52,"--")</f>
        <v>12.120000000000001</v>
      </c>
      <c r="N52" s="31">
        <f>IFERROR(VLOOKUP($J52,$A$2:$G$991,6,FALSE)*$K52,"--")</f>
        <v>4.0200000000000005</v>
      </c>
      <c r="O52" s="31">
        <f>IFERROR(VLOOKUP($J52,$A$2:$G$991,7,FALSE)*$K52,"--")</f>
        <v>60</v>
      </c>
      <c r="P52" s="31">
        <f>IFERROR(VLOOKUP($J52,$A$2:$H$991,8,FALSE)*$K52,"--")</f>
        <v>0.375</v>
      </c>
      <c r="Q52" s="139"/>
    </row>
    <row r="53" spans="1:18">
      <c r="A53" s="23" t="s">
        <v>43</v>
      </c>
      <c r="B53" s="24" t="s">
        <v>17</v>
      </c>
      <c r="C53" s="8" t="s">
        <v>31</v>
      </c>
      <c r="D53" s="21">
        <v>3.7999999999999999E-2</v>
      </c>
      <c r="E53" s="21">
        <v>5.18</v>
      </c>
      <c r="F53" s="21">
        <v>0.503</v>
      </c>
      <c r="G53" s="21">
        <v>21.67</v>
      </c>
      <c r="H53" s="49"/>
      <c r="J53" s="27"/>
      <c r="K53" s="32"/>
      <c r="L53" s="33">
        <f>SUM(L50:L52)</f>
        <v>22.599999999999998</v>
      </c>
      <c r="M53" s="33">
        <f>SUM(M50:M52)</f>
        <v>34.32</v>
      </c>
      <c r="N53" s="33">
        <f>SUM(N50:N52)</f>
        <v>44.3</v>
      </c>
      <c r="O53" s="33">
        <f>SUM(O50:O52)</f>
        <v>515.52</v>
      </c>
      <c r="P53" s="33">
        <f>SUM(P50:P52)</f>
        <v>3.6112500000000001</v>
      </c>
      <c r="Q53" s="139"/>
    </row>
    <row r="54" spans="1:18">
      <c r="A54" s="23" t="s">
        <v>24</v>
      </c>
      <c r="B54" s="24" t="s">
        <v>5</v>
      </c>
      <c r="C54" s="8" t="s">
        <v>31</v>
      </c>
      <c r="D54" s="21">
        <v>0.48</v>
      </c>
      <c r="E54" s="21">
        <v>0</v>
      </c>
      <c r="F54" s="21">
        <v>5.69</v>
      </c>
      <c r="G54" s="21">
        <v>27</v>
      </c>
      <c r="H54" s="49"/>
      <c r="J54" s="131"/>
      <c r="K54" s="132"/>
      <c r="L54" s="129">
        <f>(L53*$Y$2)/($L53*$Y$2+$M53*$Y$3+$N53*$Y$4)</f>
        <v>0.3911922526806782</v>
      </c>
      <c r="M54" s="129">
        <f>(M53*$Y$3)/($L53*$Y$2+$M53*$Y$3+$N53*$Y$4)</f>
        <v>0.26576293421520136</v>
      </c>
      <c r="N54" s="129">
        <f>(N53*$Y$4)/($L53*$Y$2+$M53*$Y$3+$N53*$Y$4)</f>
        <v>0.34304481310412061</v>
      </c>
      <c r="O54" s="133"/>
      <c r="P54" s="133"/>
      <c r="Q54" s="139"/>
    </row>
    <row r="55" spans="1:18">
      <c r="A55" s="23" t="s">
        <v>66</v>
      </c>
      <c r="B55" s="24" t="s">
        <v>8</v>
      </c>
      <c r="C55" s="8" t="s">
        <v>31</v>
      </c>
      <c r="D55" s="21">
        <v>0.05</v>
      </c>
      <c r="E55" s="21">
        <v>1.02</v>
      </c>
      <c r="F55" s="21">
        <v>0.23</v>
      </c>
      <c r="G55" s="21">
        <v>5</v>
      </c>
      <c r="H55" s="49">
        <f>0.69/16</f>
        <v>4.3124999999999997E-2</v>
      </c>
      <c r="J55" s="11"/>
      <c r="K55" s="30"/>
      <c r="L55" s="30"/>
      <c r="M55" s="31"/>
      <c r="N55" s="31"/>
      <c r="O55" s="31"/>
      <c r="P55" s="31"/>
      <c r="Q55" s="139"/>
    </row>
    <row r="56" spans="1:18">
      <c r="A56" s="23" t="s">
        <v>107</v>
      </c>
      <c r="B56" s="24" t="s">
        <v>108</v>
      </c>
      <c r="C56" s="8" t="s">
        <v>31</v>
      </c>
      <c r="D56" s="21">
        <f>20/4</f>
        <v>5</v>
      </c>
      <c r="E56" s="21">
        <v>0</v>
      </c>
      <c r="F56" s="21">
        <f>21/4</f>
        <v>5.25</v>
      </c>
      <c r="G56" s="21">
        <f>270/4</f>
        <v>67.5</v>
      </c>
      <c r="H56" s="49"/>
      <c r="J56" s="15" t="s">
        <v>95</v>
      </c>
      <c r="K56" s="29" t="s">
        <v>77</v>
      </c>
      <c r="L56" s="29" t="s">
        <v>1</v>
      </c>
      <c r="M56" s="29" t="s">
        <v>3</v>
      </c>
      <c r="N56" s="29" t="s">
        <v>2</v>
      </c>
      <c r="O56" s="29" t="s">
        <v>4</v>
      </c>
      <c r="P56" s="38" t="s">
        <v>119</v>
      </c>
      <c r="Q56" s="118">
        <v>6.25E-2</v>
      </c>
    </row>
    <row r="57" spans="1:18">
      <c r="A57" s="23" t="s">
        <v>195</v>
      </c>
      <c r="B57" s="24" t="s">
        <v>196</v>
      </c>
      <c r="C57" s="8" t="s">
        <v>31</v>
      </c>
      <c r="D57" s="21">
        <f>0.5/2</f>
        <v>0.25</v>
      </c>
      <c r="E57" s="21">
        <v>0</v>
      </c>
      <c r="F57" s="21">
        <f>11/2</f>
        <v>5.5</v>
      </c>
      <c r="G57" s="21">
        <f>50/2</f>
        <v>25</v>
      </c>
      <c r="H57" s="49">
        <f>2.99/10</f>
        <v>0.29900000000000004</v>
      </c>
      <c r="J57" s="9" t="s">
        <v>85</v>
      </c>
      <c r="K57" s="30">
        <v>13</v>
      </c>
      <c r="L57" s="31">
        <f>IFERROR(VLOOKUP($J57,$A$2:$G$991,4,FALSE)*$K57,"--")</f>
        <v>14</v>
      </c>
      <c r="M57" s="31">
        <f>IFERROR(VLOOKUP($J57,$A$2:$G$991,5,FALSE)*$K57,"--")</f>
        <v>0</v>
      </c>
      <c r="N57" s="31">
        <f>IFERROR(VLOOKUP($J57,$A$2:$G$991,6,FALSE)*$K57,"--")</f>
        <v>0</v>
      </c>
      <c r="O57" s="31">
        <f>IFERROR(VLOOKUP($J57,$A$2:$G$991,7,FALSE)*$K57,"--")</f>
        <v>119.99999999999999</v>
      </c>
      <c r="P57" s="31">
        <f>IFERROR(VLOOKUP($J57,$A$2:$H$991,8,FALSE)*$K57,"--")</f>
        <v>0.47231835092139529</v>
      </c>
      <c r="Q57" s="139"/>
    </row>
    <row r="58" spans="1:18">
      <c r="A58" s="23" t="s">
        <v>10</v>
      </c>
      <c r="B58" s="24" t="s">
        <v>103</v>
      </c>
      <c r="C58" s="8" t="s">
        <v>31</v>
      </c>
      <c r="D58" s="21">
        <v>0.33</v>
      </c>
      <c r="E58" s="21">
        <v>0</v>
      </c>
      <c r="F58" s="21">
        <v>7</v>
      </c>
      <c r="G58" s="21">
        <v>30</v>
      </c>
      <c r="H58" s="49"/>
      <c r="J58" s="17" t="s">
        <v>84</v>
      </c>
      <c r="K58" s="34">
        <v>1.5</v>
      </c>
      <c r="L58" s="31">
        <f>IFERROR(VLOOKUP($J58,$A$2:$G$991,4,FALSE)*$K58,"--")</f>
        <v>1.5</v>
      </c>
      <c r="M58" s="31">
        <f>IFERROR(VLOOKUP($J58,$A$2:$G$991,5,FALSE)*$K58,"--")</f>
        <v>4.5</v>
      </c>
      <c r="N58" s="31">
        <f>IFERROR(VLOOKUP($J58,$A$2:$G$991,6,FALSE)*$K58,"--")</f>
        <v>36</v>
      </c>
      <c r="O58" s="31">
        <f>IFERROR(VLOOKUP($J58,$A$2:$G$991,7,FALSE)*$K58,"--")</f>
        <v>180</v>
      </c>
      <c r="P58" s="31">
        <f>IFERROR(VLOOKUP($J58,$A$2:$H$991,8,FALSE)*$K58,"--")</f>
        <v>1.2026785714285713</v>
      </c>
      <c r="Q58" s="139"/>
      <c r="R58" s="111"/>
    </row>
    <row r="59" spans="1:18">
      <c r="A59" s="23" t="s">
        <v>199</v>
      </c>
      <c r="B59" s="24" t="s">
        <v>200</v>
      </c>
      <c r="C59" s="8" t="s">
        <v>31</v>
      </c>
      <c r="D59" s="21">
        <f>0.5/2</f>
        <v>0.25</v>
      </c>
      <c r="E59" s="21">
        <f>1/2</f>
        <v>0.5</v>
      </c>
      <c r="F59" s="21">
        <f>12/2</f>
        <v>6</v>
      </c>
      <c r="G59" s="21">
        <f>60/2</f>
        <v>30</v>
      </c>
      <c r="H59" s="49">
        <f>4.99/8</f>
        <v>0.62375000000000003</v>
      </c>
      <c r="J59" s="17" t="s">
        <v>79</v>
      </c>
      <c r="K59" s="34">
        <v>0.5</v>
      </c>
      <c r="L59" s="31">
        <f>IFERROR(VLOOKUP($J59,$A$2:$G$991,4,FALSE)*$K59,"--")</f>
        <v>0.5</v>
      </c>
      <c r="M59" s="31">
        <f>IFERROR(VLOOKUP($J59,$A$2:$G$991,5,FALSE)*$K59,"--")</f>
        <v>1.5</v>
      </c>
      <c r="N59" s="31">
        <f>IFERROR(VLOOKUP($J59,$A$2:$G$991,6,FALSE)*$K59,"--")</f>
        <v>12</v>
      </c>
      <c r="O59" s="31">
        <f>IFERROR(VLOOKUP($J59,$A$2:$G$991,7,FALSE)*$K59,"--")</f>
        <v>60</v>
      </c>
      <c r="P59" s="31">
        <f>IFERROR(VLOOKUP($J59,$A$2:$H$991,8,FALSE)*$K59,"--")</f>
        <v>0.33063380281690141</v>
      </c>
      <c r="Q59" s="139"/>
      <c r="R59" s="112"/>
    </row>
    <row r="60" spans="1:18">
      <c r="A60" s="23" t="s">
        <v>75</v>
      </c>
      <c r="B60" s="24" t="s">
        <v>76</v>
      </c>
      <c r="C60" s="8" t="s">
        <v>31</v>
      </c>
      <c r="D60" s="21">
        <v>0.21</v>
      </c>
      <c r="E60" s="21">
        <v>0.41625000000000001</v>
      </c>
      <c r="F60" s="21">
        <v>4.4424999999999999</v>
      </c>
      <c r="G60" s="21">
        <v>20.625</v>
      </c>
      <c r="H60" s="49"/>
      <c r="J60" s="17" t="s">
        <v>165</v>
      </c>
      <c r="K60" s="34">
        <v>5</v>
      </c>
      <c r="L60" s="31">
        <f>IFERROR(VLOOKUP($J60,$A$2:$G$991,4,FALSE)*$K60,"--")</f>
        <v>0</v>
      </c>
      <c r="M60" s="31">
        <f>IFERROR(VLOOKUP($J60,$A$2:$G$991,5,FALSE)*$K60,"--")</f>
        <v>0</v>
      </c>
      <c r="N60" s="31">
        <f>IFERROR(VLOOKUP($J60,$A$2:$G$991,6,FALSE)*$K60,"--")</f>
        <v>0</v>
      </c>
      <c r="O60" s="31">
        <f>IFERROR(VLOOKUP($J60,$A$2:$G$991,7,FALSE)*$K60,"--")</f>
        <v>0</v>
      </c>
      <c r="P60" s="31">
        <f>IFERROR(VLOOKUP($J60,$A$2:$H$991,8,FALSE)*$K60,"--")</f>
        <v>0.1525</v>
      </c>
      <c r="Q60" s="139"/>
      <c r="R60" s="113"/>
    </row>
    <row r="61" spans="1:18">
      <c r="A61" s="23" t="s">
        <v>142</v>
      </c>
      <c r="B61" s="24" t="s">
        <v>143</v>
      </c>
      <c r="C61" s="8" t="s">
        <v>32</v>
      </c>
      <c r="D61" s="21">
        <v>0</v>
      </c>
      <c r="E61" s="21">
        <v>35</v>
      </c>
      <c r="F61" s="21">
        <v>0</v>
      </c>
      <c r="G61" s="21">
        <v>140</v>
      </c>
      <c r="H61" s="49">
        <f>21.89/75</f>
        <v>0.29186666666666666</v>
      </c>
      <c r="J61" s="17" t="s">
        <v>267</v>
      </c>
      <c r="K61" s="34">
        <v>3</v>
      </c>
      <c r="L61" s="31">
        <f>IFERROR(VLOOKUP($J61,$A$2:$G$991,4,FALSE)*$K61,"--")</f>
        <v>0</v>
      </c>
      <c r="M61" s="31">
        <f>IFERROR(VLOOKUP($J61,$A$2:$G$991,5,FALSE)*$K61,"--")</f>
        <v>0</v>
      </c>
      <c r="N61" s="31">
        <f>IFERROR(VLOOKUP($J61,$A$2:$G$991,6,FALSE)*$K61,"--")</f>
        <v>0</v>
      </c>
      <c r="O61" s="31">
        <f>IFERROR(VLOOKUP($J61,$A$2:$G$991,7,FALSE)*$K61,"--")</f>
        <v>0</v>
      </c>
      <c r="P61" s="31">
        <f>IFERROR(VLOOKUP($J61,$A$2:$H$991,8,FALSE)*$K61,"--")</f>
        <v>0.48233333333333339</v>
      </c>
      <c r="Q61" s="139"/>
      <c r="R61" s="114"/>
    </row>
    <row r="62" spans="1:18">
      <c r="A62" s="25" t="s">
        <v>79</v>
      </c>
      <c r="B62" s="26" t="s">
        <v>80</v>
      </c>
      <c r="C62" s="8" t="s">
        <v>32</v>
      </c>
      <c r="D62" s="22">
        <v>1</v>
      </c>
      <c r="E62" s="22">
        <v>3</v>
      </c>
      <c r="F62" s="22">
        <v>24</v>
      </c>
      <c r="G62" s="22">
        <v>120</v>
      </c>
      <c r="H62" s="51">
        <f>46.95/71</f>
        <v>0.66126760563380282</v>
      </c>
      <c r="J62" s="27"/>
      <c r="K62" s="32"/>
      <c r="L62" s="33">
        <f>SUM(L57:L61)</f>
        <v>16</v>
      </c>
      <c r="M62" s="33">
        <f>SUM(M57:M61)</f>
        <v>6</v>
      </c>
      <c r="N62" s="33">
        <f>SUM(N57:N61)</f>
        <v>48</v>
      </c>
      <c r="O62" s="33">
        <f>SUM(O57:O61)</f>
        <v>360</v>
      </c>
      <c r="P62" s="33">
        <f>SUM(P57:P61)</f>
        <v>2.6404640585002013</v>
      </c>
      <c r="R62" s="115"/>
    </row>
    <row r="63" spans="1:18">
      <c r="A63" s="23" t="s">
        <v>246</v>
      </c>
      <c r="B63" s="24" t="s">
        <v>247</v>
      </c>
      <c r="C63" s="8" t="s">
        <v>32</v>
      </c>
      <c r="D63" s="21">
        <v>0</v>
      </c>
      <c r="E63" s="21">
        <v>0</v>
      </c>
      <c r="F63" s="21">
        <v>0</v>
      </c>
      <c r="G63" s="21">
        <v>5</v>
      </c>
      <c r="H63" s="49">
        <f>61.29/90</f>
        <v>0.68099999999999994</v>
      </c>
      <c r="J63" s="131"/>
      <c r="K63" s="132"/>
      <c r="L63" s="129">
        <f>(L62*$Y$2)/($L62*$Y$2+$M62*$Y$3+$N62*$Y$4)</f>
        <v>0.39842726081258195</v>
      </c>
      <c r="M63" s="129">
        <f>(M62*$Y$3)/($L62*$Y$2+$M62*$Y$3+$N62*$Y$4)</f>
        <v>6.6841415465268672E-2</v>
      </c>
      <c r="N63" s="129">
        <f>(N62*$Y$4)/($L62*$Y$2+$M62*$Y$3+$N62*$Y$4)</f>
        <v>0.53473132372214938</v>
      </c>
      <c r="O63" s="133"/>
      <c r="P63" s="133"/>
      <c r="R63" s="116"/>
    </row>
    <row r="64" spans="1:18">
      <c r="A64" s="23" t="s">
        <v>7</v>
      </c>
      <c r="B64" s="24" t="s">
        <v>15</v>
      </c>
      <c r="C64" s="8" t="s">
        <v>31</v>
      </c>
      <c r="D64" s="21">
        <v>0</v>
      </c>
      <c r="E64" s="21">
        <v>2.25</v>
      </c>
      <c r="F64" s="21">
        <v>2.75</v>
      </c>
      <c r="G64" s="21">
        <v>21.25</v>
      </c>
      <c r="H64" s="49">
        <f>5.99/32</f>
        <v>0.18718750000000001</v>
      </c>
      <c r="J64" s="11"/>
      <c r="K64" s="30"/>
      <c r="L64" s="30"/>
      <c r="M64" s="31"/>
      <c r="N64" s="31"/>
      <c r="O64" s="31"/>
      <c r="P64" s="31"/>
      <c r="R64" s="116"/>
    </row>
    <row r="65" spans="1:25">
      <c r="A65" s="23" t="s">
        <v>267</v>
      </c>
      <c r="B65" s="24" t="s">
        <v>268</v>
      </c>
      <c r="C65" s="8" t="s">
        <v>130</v>
      </c>
      <c r="D65" s="21">
        <v>0</v>
      </c>
      <c r="E65" s="21">
        <v>0</v>
      </c>
      <c r="F65" s="21">
        <v>0</v>
      </c>
      <c r="G65" s="21">
        <v>0</v>
      </c>
      <c r="H65" s="49">
        <f>14.47/90</f>
        <v>0.1607777777777778</v>
      </c>
      <c r="R65" s="116"/>
    </row>
    <row r="66" spans="1:25">
      <c r="A66" s="23" t="s">
        <v>46</v>
      </c>
      <c r="B66" s="24" t="s">
        <v>45</v>
      </c>
      <c r="C66" s="8" t="s">
        <v>31</v>
      </c>
      <c r="D66" s="21">
        <v>0.01</v>
      </c>
      <c r="E66" s="21">
        <v>1.1100000000000001</v>
      </c>
      <c r="F66" s="21">
        <v>0.18</v>
      </c>
      <c r="G66" s="21">
        <v>5</v>
      </c>
      <c r="H66" s="49">
        <f>0.99/16</f>
        <v>6.1874999999999999E-2</v>
      </c>
      <c r="J66" s="52"/>
      <c r="K66" s="53"/>
      <c r="L66" s="53"/>
      <c r="M66" s="54"/>
      <c r="R66" s="116"/>
      <c r="Y66" s="119"/>
    </row>
    <row r="67" spans="1:25">
      <c r="R67" s="116"/>
    </row>
    <row r="68" spans="1:25">
      <c r="R68" s="116"/>
    </row>
    <row r="69" spans="1:25">
      <c r="Q69" s="140"/>
      <c r="R69" s="116"/>
    </row>
    <row r="70" spans="1:25">
      <c r="V70" s="4"/>
      <c r="W70" s="4"/>
    </row>
    <row r="71" spans="1:25">
      <c r="Q71" s="141"/>
      <c r="R71" s="116"/>
      <c r="V71" s="4"/>
      <c r="W71" s="4"/>
    </row>
    <row r="72" spans="1:25">
      <c r="Q72" s="118"/>
      <c r="R72" s="116"/>
      <c r="S72" s="4"/>
      <c r="T72" s="4"/>
      <c r="U72" s="4"/>
      <c r="V72" s="4"/>
      <c r="W72" s="4"/>
    </row>
    <row r="73" spans="1:25">
      <c r="Q73" s="139"/>
      <c r="R73" s="116"/>
      <c r="S73" s="4"/>
      <c r="T73" s="4"/>
      <c r="U73" s="4"/>
      <c r="V73" s="4"/>
      <c r="W73" s="4"/>
    </row>
    <row r="74" spans="1:25">
      <c r="Q74" s="139"/>
      <c r="R74" s="116"/>
      <c r="S74" s="4"/>
      <c r="T74" s="4"/>
      <c r="U74" s="4"/>
      <c r="V74" s="4"/>
      <c r="W74" s="4"/>
    </row>
    <row r="75" spans="1:25">
      <c r="Q75" s="139"/>
      <c r="R75" s="116"/>
      <c r="S75" s="4"/>
      <c r="T75" s="4"/>
      <c r="U75" s="4"/>
      <c r="V75" s="4"/>
      <c r="W75" s="4"/>
    </row>
    <row r="76" spans="1:25">
      <c r="P76" s="28"/>
      <c r="Q76" s="139"/>
      <c r="R76" s="109"/>
      <c r="S76" s="4"/>
      <c r="T76" s="4"/>
      <c r="U76" s="4"/>
      <c r="V76" s="4"/>
      <c r="W76" s="4"/>
    </row>
    <row r="77" spans="1:25">
      <c r="J77" s="5"/>
      <c r="K77" s="35"/>
      <c r="L77" s="28"/>
      <c r="Q77" s="139"/>
      <c r="R77" s="109"/>
      <c r="S77" s="4"/>
      <c r="T77" s="4"/>
      <c r="U77" s="4"/>
      <c r="V77" s="4"/>
      <c r="W77" s="4"/>
    </row>
    <row r="78" spans="1:25">
      <c r="J78" s="23"/>
      <c r="K78" s="35"/>
      <c r="L78" s="28"/>
      <c r="Q78" s="139"/>
      <c r="R78" s="109"/>
      <c r="S78" s="4"/>
      <c r="T78" s="4"/>
      <c r="U78" s="4"/>
      <c r="V78" s="4"/>
      <c r="W78" s="4"/>
    </row>
    <row r="79" spans="1:25">
      <c r="J79" s="23"/>
      <c r="K79" s="35"/>
      <c r="L79" s="28"/>
      <c r="Q79" s="139"/>
      <c r="R79" s="109"/>
      <c r="S79" s="4"/>
      <c r="T79" s="4"/>
      <c r="U79" s="4"/>
      <c r="V79" s="4"/>
      <c r="W79" s="4"/>
    </row>
    <row r="80" spans="1:25">
      <c r="J80" s="5"/>
      <c r="K80" s="35"/>
      <c r="L80" s="28"/>
      <c r="Q80" s="139"/>
      <c r="R80" s="109"/>
      <c r="S80" s="4"/>
      <c r="T80" s="4"/>
      <c r="U80" s="4"/>
      <c r="V80" s="4"/>
      <c r="W80" s="4"/>
    </row>
    <row r="81" spans="10:28">
      <c r="J81" s="23"/>
      <c r="K81" s="28"/>
      <c r="L81" s="28"/>
      <c r="R81" s="109"/>
      <c r="S81" s="4"/>
      <c r="T81" s="4"/>
      <c r="U81" s="4"/>
      <c r="V81" s="4"/>
      <c r="W81" s="4"/>
    </row>
    <row r="82" spans="10:28">
      <c r="J82" s="5"/>
      <c r="K82" s="35"/>
      <c r="L82" s="28"/>
      <c r="Q82" s="139"/>
      <c r="R82" s="109"/>
      <c r="T82" s="4"/>
    </row>
    <row r="83" spans="10:28">
      <c r="J83" s="5"/>
      <c r="K83" s="35"/>
      <c r="L83" s="28"/>
      <c r="Q83" s="139"/>
      <c r="R83" s="109"/>
    </row>
    <row r="84" spans="10:28">
      <c r="J84" s="5"/>
      <c r="K84" s="35"/>
      <c r="L84" s="28"/>
      <c r="Q84" s="139"/>
      <c r="R84" s="109"/>
      <c r="AB84" s="2" t="s">
        <v>256</v>
      </c>
    </row>
    <row r="85" spans="10:28">
      <c r="J85" s="5"/>
      <c r="K85" s="35"/>
      <c r="L85" s="28"/>
      <c r="Q85" s="139"/>
      <c r="R85" s="109"/>
    </row>
    <row r="86" spans="10:28">
      <c r="J86" s="5"/>
      <c r="K86" s="35"/>
      <c r="L86" s="28"/>
      <c r="Q86" s="139"/>
      <c r="R86" s="109"/>
    </row>
    <row r="87" spans="10:28">
      <c r="J87" s="23"/>
      <c r="K87" s="35"/>
      <c r="L87" s="28"/>
      <c r="Q87" s="139"/>
      <c r="R87" s="109"/>
    </row>
    <row r="88" spans="10:28">
      <c r="J88" s="5"/>
      <c r="K88" s="35"/>
      <c r="L88" s="28"/>
      <c r="Q88" s="139"/>
    </row>
    <row r="89" spans="10:28">
      <c r="Q89" s="139"/>
    </row>
    <row r="90" spans="10:28">
      <c r="Q90" s="139"/>
    </row>
    <row r="91" spans="10:28">
      <c r="Q91" s="139"/>
    </row>
    <row r="92" spans="10:28">
      <c r="Q92" s="139"/>
    </row>
    <row r="93" spans="10:28">
      <c r="Q93" s="139"/>
    </row>
    <row r="94" spans="10:28">
      <c r="Q94" s="139"/>
    </row>
    <row r="95" spans="10:28">
      <c r="Q95" s="139"/>
    </row>
    <row r="96" spans="10:28">
      <c r="Q96" s="139"/>
    </row>
    <row r="97" spans="17:17">
      <c r="Q97" s="139"/>
    </row>
    <row r="98" spans="17:17">
      <c r="Q98" s="139"/>
    </row>
  </sheetData>
  <mergeCells count="3">
    <mergeCell ref="AE1:AH1"/>
    <mergeCell ref="AI1:AL1"/>
    <mergeCell ref="AM1:AP1"/>
  </mergeCells>
  <pageMargins left="0.7" right="0.7" top="0.75" bottom="0.75" header="0.3" footer="0.3"/>
  <ignoredErrors>
    <ignoredError sqref="R2:Z13 L2:Q11 R46:Z65 S14:Z21 R14:R45 S26:Z45 L36:Q41 L35:P35 L13:Q18 L12:P12 L20:Q25 L19:P19 L27:Q34 L26:P26 L43:Q48 L42:P42 L50:Q55 L49:P49 L59:Q64 L56:P56 U22:Z25 L57:Q57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7"/>
  <sheetViews>
    <sheetView workbookViewId="0">
      <selection activeCell="B13" sqref="B13"/>
    </sheetView>
  </sheetViews>
  <sheetFormatPr baseColWidth="10" defaultRowHeight="15" x14ac:dyDescent="0"/>
  <cols>
    <col min="1" max="1" width="7.83203125" style="61" bestFit="1" customWidth="1"/>
    <col min="2" max="2" width="9.1640625" style="61" bestFit="1" customWidth="1"/>
    <col min="3" max="3" width="9.33203125" style="61" bestFit="1" customWidth="1"/>
    <col min="4" max="4" width="11" style="61" bestFit="1" customWidth="1"/>
    <col min="5" max="5" width="6" style="61" bestFit="1" customWidth="1"/>
    <col min="6" max="6" width="8.5" style="61" bestFit="1" customWidth="1"/>
    <col min="7" max="7" width="9.6640625" style="61" bestFit="1" customWidth="1"/>
    <col min="8" max="8" width="9.33203125" style="61" bestFit="1" customWidth="1"/>
    <col min="9" max="9" width="11.1640625" style="61" bestFit="1" customWidth="1"/>
    <col min="10" max="10" width="11.6640625" style="61" bestFit="1" customWidth="1"/>
    <col min="11" max="11" width="11.33203125" style="61" bestFit="1" customWidth="1"/>
    <col min="12" max="12" width="10.83203125" style="61" bestFit="1" customWidth="1"/>
    <col min="13" max="13" width="7.5" style="61" bestFit="1" customWidth="1"/>
    <col min="14" max="14" width="8.1640625" style="61" bestFit="1" customWidth="1"/>
    <col min="15" max="15" width="10" style="61" bestFit="1" customWidth="1"/>
    <col min="16" max="16" width="3.83203125" style="61" bestFit="1" customWidth="1"/>
    <col min="17" max="17" width="6.5" style="61" bestFit="1" customWidth="1"/>
    <col min="18" max="18" width="7.33203125" style="61" bestFit="1" customWidth="1"/>
    <col min="19" max="20" width="8.5" style="61" bestFit="1" customWidth="1"/>
    <col min="21" max="21" width="9.6640625" style="61" bestFit="1" customWidth="1"/>
    <col min="22" max="22" width="94.5" bestFit="1" customWidth="1"/>
    <col min="31" max="31" width="3.83203125" bestFit="1" customWidth="1"/>
    <col min="32" max="32" width="4.6640625" bestFit="1" customWidth="1"/>
    <col min="33" max="33" width="6.5" bestFit="1" customWidth="1"/>
    <col min="34" max="34" width="13.83203125" bestFit="1" customWidth="1"/>
  </cols>
  <sheetData>
    <row r="1" spans="1:22">
      <c r="A1" s="14" t="s">
        <v>146</v>
      </c>
      <c r="B1" s="14" t="s">
        <v>184</v>
      </c>
      <c r="C1" s="14" t="s">
        <v>186</v>
      </c>
      <c r="D1" s="97" t="s">
        <v>174</v>
      </c>
      <c r="E1" s="98" t="s">
        <v>169</v>
      </c>
      <c r="F1" s="98" t="s">
        <v>167</v>
      </c>
      <c r="G1" s="98" t="s">
        <v>168</v>
      </c>
      <c r="H1" s="98" t="s">
        <v>177</v>
      </c>
      <c r="I1" s="99" t="s">
        <v>170</v>
      </c>
      <c r="J1" s="99" t="s">
        <v>171</v>
      </c>
      <c r="K1" s="99" t="s">
        <v>172</v>
      </c>
      <c r="L1" s="99" t="s">
        <v>178</v>
      </c>
      <c r="M1" s="99" t="s">
        <v>173</v>
      </c>
      <c r="N1" s="99" t="s">
        <v>175</v>
      </c>
      <c r="O1" s="99" t="s">
        <v>176</v>
      </c>
      <c r="P1" s="103" t="s">
        <v>36</v>
      </c>
      <c r="Q1" s="103" t="s">
        <v>179</v>
      </c>
      <c r="R1" s="103" t="s">
        <v>38</v>
      </c>
      <c r="S1" s="103" t="s">
        <v>4</v>
      </c>
      <c r="T1" s="14" t="s">
        <v>207</v>
      </c>
      <c r="U1" s="14" t="s">
        <v>206</v>
      </c>
      <c r="V1" s="12" t="s">
        <v>203</v>
      </c>
    </row>
    <row r="2" spans="1:22">
      <c r="A2" s="94">
        <v>40928</v>
      </c>
      <c r="B2" s="104">
        <v>0.95833333333333337</v>
      </c>
      <c r="C2" s="104" t="s">
        <v>187</v>
      </c>
      <c r="D2" s="96">
        <v>197.8</v>
      </c>
      <c r="E2" s="96">
        <v>16.600000000000001</v>
      </c>
      <c r="F2" s="96">
        <v>56.7</v>
      </c>
      <c r="G2" s="96">
        <v>43.4</v>
      </c>
      <c r="H2" s="96">
        <v>6.4</v>
      </c>
      <c r="I2" s="96">
        <v>6.4</v>
      </c>
      <c r="J2" s="96">
        <v>6.4</v>
      </c>
      <c r="K2" s="96">
        <v>12.3</v>
      </c>
      <c r="L2" s="96">
        <v>14.8</v>
      </c>
      <c r="M2" s="96">
        <v>29.3</v>
      </c>
      <c r="N2" s="96">
        <v>45.5</v>
      </c>
      <c r="O2" s="96">
        <v>123</v>
      </c>
      <c r="P2" s="61">
        <v>57</v>
      </c>
      <c r="Q2" s="61">
        <v>225</v>
      </c>
      <c r="R2" s="61">
        <v>266</v>
      </c>
      <c r="S2" s="61">
        <v>2511</v>
      </c>
      <c r="U2" s="61">
        <v>0</v>
      </c>
      <c r="V2" t="s">
        <v>185</v>
      </c>
    </row>
    <row r="3" spans="1:22">
      <c r="A3" s="94">
        <v>40930</v>
      </c>
      <c r="B3" s="104">
        <v>0.625</v>
      </c>
      <c r="C3" s="104" t="s">
        <v>188</v>
      </c>
      <c r="D3" s="96">
        <v>196.2</v>
      </c>
      <c r="E3" s="96">
        <v>16.399999999999999</v>
      </c>
      <c r="F3" s="96">
        <v>57.1</v>
      </c>
      <c r="G3" s="96">
        <v>43.2</v>
      </c>
      <c r="H3" s="96">
        <v>6.4</v>
      </c>
      <c r="I3" s="96">
        <v>6.4</v>
      </c>
      <c r="J3" s="96">
        <v>6.5</v>
      </c>
      <c r="K3" s="96">
        <v>10.9</v>
      </c>
      <c r="L3" s="96">
        <v>14</v>
      </c>
      <c r="M3" s="96">
        <v>28.1</v>
      </c>
      <c r="N3" s="96">
        <v>46.4</v>
      </c>
      <c r="O3" s="96">
        <v>125.5</v>
      </c>
      <c r="P3" s="61">
        <v>72</v>
      </c>
      <c r="Q3" s="61">
        <v>260</v>
      </c>
      <c r="R3" s="61">
        <v>312</v>
      </c>
      <c r="S3" s="61">
        <v>2951</v>
      </c>
      <c r="U3" s="61">
        <v>0</v>
      </c>
      <c r="V3" t="s">
        <v>183</v>
      </c>
    </row>
    <row r="4" spans="1:22">
      <c r="A4" s="94">
        <v>40931</v>
      </c>
      <c r="B4" s="104">
        <v>0.5131944444444444</v>
      </c>
      <c r="C4" s="104" t="s">
        <v>188</v>
      </c>
      <c r="D4" s="96">
        <v>196</v>
      </c>
      <c r="E4" s="96">
        <v>16.3</v>
      </c>
      <c r="F4" s="96">
        <v>57</v>
      </c>
      <c r="G4" s="96">
        <v>43.5</v>
      </c>
      <c r="H4" s="96">
        <v>6.4</v>
      </c>
      <c r="I4" s="96">
        <v>6.3</v>
      </c>
      <c r="J4" s="96">
        <v>7.7</v>
      </c>
      <c r="K4" s="96">
        <v>12.2</v>
      </c>
      <c r="L4" s="96">
        <v>15.4</v>
      </c>
      <c r="M4" s="96">
        <v>30.3</v>
      </c>
      <c r="N4" s="96">
        <v>44.7</v>
      </c>
      <c r="O4" s="96">
        <v>121</v>
      </c>
      <c r="P4" s="61">
        <v>72</v>
      </c>
      <c r="Q4" s="61">
        <v>260</v>
      </c>
      <c r="R4" s="61">
        <v>312</v>
      </c>
      <c r="S4" s="61">
        <v>2951</v>
      </c>
      <c r="U4" s="61">
        <v>0</v>
      </c>
      <c r="V4" t="s">
        <v>245</v>
      </c>
    </row>
    <row r="5" spans="1:22">
      <c r="A5" s="94">
        <v>40935</v>
      </c>
      <c r="B5" s="104">
        <v>6.25E-2</v>
      </c>
      <c r="C5" s="104" t="s">
        <v>242</v>
      </c>
      <c r="D5" s="96">
        <v>200.4</v>
      </c>
      <c r="E5" s="96">
        <v>17</v>
      </c>
      <c r="F5" s="96">
        <v>56.2</v>
      </c>
      <c r="G5" s="96">
        <v>43.5</v>
      </c>
      <c r="H5" s="96">
        <v>6.4</v>
      </c>
      <c r="I5" s="96">
        <v>6</v>
      </c>
      <c r="J5" s="96">
        <v>7</v>
      </c>
      <c r="K5" s="96">
        <v>11</v>
      </c>
      <c r="L5" s="96">
        <v>14.2</v>
      </c>
      <c r="M5" s="96">
        <v>28.4</v>
      </c>
      <c r="N5" s="96">
        <v>46.4</v>
      </c>
      <c r="O5" s="96">
        <v>125.6</v>
      </c>
      <c r="P5" s="61">
        <v>73</v>
      </c>
      <c r="Q5" s="61">
        <v>315</v>
      </c>
      <c r="R5" s="61">
        <v>319</v>
      </c>
      <c r="S5" s="61">
        <v>3218</v>
      </c>
      <c r="T5" s="61" t="s">
        <v>204</v>
      </c>
      <c r="U5" s="61">
        <v>0</v>
      </c>
      <c r="V5" t="s">
        <v>197</v>
      </c>
    </row>
    <row r="6" spans="1:22">
      <c r="A6" s="94">
        <v>40935</v>
      </c>
      <c r="B6" s="104">
        <v>0.48541666666666666</v>
      </c>
      <c r="C6" s="61" t="s">
        <v>188</v>
      </c>
      <c r="D6" s="61">
        <v>193.6</v>
      </c>
      <c r="E6" s="61">
        <v>15.9</v>
      </c>
      <c r="F6" s="61">
        <v>57.8</v>
      </c>
      <c r="G6" s="61">
        <v>42.5</v>
      </c>
      <c r="H6" s="61">
        <v>6.2</v>
      </c>
      <c r="I6" s="61">
        <v>5.8</v>
      </c>
      <c r="J6" s="61">
        <v>7</v>
      </c>
      <c r="K6" s="61">
        <v>11.1</v>
      </c>
      <c r="L6" s="61">
        <v>14.1</v>
      </c>
      <c r="M6" s="61">
        <v>27.3</v>
      </c>
      <c r="N6" s="61">
        <v>44.9</v>
      </c>
      <c r="O6" s="96">
        <v>121.4</v>
      </c>
      <c r="P6" s="61">
        <v>73</v>
      </c>
      <c r="Q6" s="61">
        <v>315</v>
      </c>
      <c r="R6" s="61">
        <v>319</v>
      </c>
      <c r="S6" s="61">
        <v>3218</v>
      </c>
      <c r="T6" s="61" t="s">
        <v>205</v>
      </c>
      <c r="U6" s="61">
        <v>0</v>
      </c>
      <c r="V6" t="s">
        <v>198</v>
      </c>
    </row>
    <row r="7" spans="1:22">
      <c r="A7" s="94">
        <v>40939</v>
      </c>
      <c r="B7" s="104">
        <v>1.7361111111111112E-2</v>
      </c>
      <c r="C7" s="61" t="s">
        <v>242</v>
      </c>
      <c r="D7" s="61">
        <v>201.6</v>
      </c>
      <c r="E7" s="61">
        <v>17.399999999999999</v>
      </c>
      <c r="F7" s="61">
        <v>55.9</v>
      </c>
      <c r="G7" s="61">
        <v>43.1</v>
      </c>
      <c r="H7" s="61">
        <v>6.4</v>
      </c>
      <c r="I7" s="61">
        <v>6.1</v>
      </c>
      <c r="J7" s="61">
        <v>6.9</v>
      </c>
      <c r="K7" s="61">
        <v>11.6</v>
      </c>
      <c r="L7" s="61">
        <v>14.5</v>
      </c>
      <c r="M7" s="61">
        <v>29.3</v>
      </c>
      <c r="N7" s="61">
        <v>46.5</v>
      </c>
      <c r="O7" s="96">
        <v>125.8</v>
      </c>
      <c r="P7" s="61">
        <v>78</v>
      </c>
      <c r="Q7" s="61">
        <v>346</v>
      </c>
      <c r="R7" s="61">
        <v>349</v>
      </c>
      <c r="S7" s="61">
        <v>3504</v>
      </c>
      <c r="T7" s="61" t="s">
        <v>217</v>
      </c>
      <c r="U7" s="61">
        <v>0</v>
      </c>
      <c r="V7" t="s">
        <v>261</v>
      </c>
    </row>
    <row r="8" spans="1:22">
      <c r="A8" s="94">
        <v>40941</v>
      </c>
      <c r="B8" s="104">
        <v>0.81805555555555554</v>
      </c>
      <c r="C8" s="61" t="s">
        <v>187</v>
      </c>
      <c r="D8" s="96">
        <v>199</v>
      </c>
      <c r="E8" s="96">
        <v>17</v>
      </c>
      <c r="F8" s="96">
        <v>56.4</v>
      </c>
      <c r="G8" s="96">
        <v>42.8</v>
      </c>
      <c r="H8" s="96">
        <v>6.2</v>
      </c>
      <c r="I8" s="61">
        <v>6.1</v>
      </c>
      <c r="J8" s="61">
        <v>6.9</v>
      </c>
      <c r="K8" s="61">
        <v>10.6</v>
      </c>
      <c r="L8" s="61">
        <v>13.9</v>
      </c>
      <c r="M8" s="61">
        <v>27.7</v>
      </c>
      <c r="N8" s="61">
        <v>46.2</v>
      </c>
      <c r="O8" s="96">
        <v>125</v>
      </c>
      <c r="P8" s="61">
        <v>78</v>
      </c>
      <c r="Q8" s="61">
        <v>346</v>
      </c>
      <c r="R8" s="61">
        <v>349</v>
      </c>
      <c r="S8" s="61">
        <v>3504</v>
      </c>
      <c r="T8" s="61" t="s">
        <v>204</v>
      </c>
      <c r="U8" s="61">
        <v>20</v>
      </c>
      <c r="V8" t="s">
        <v>260</v>
      </c>
    </row>
    <row r="9" spans="1:22">
      <c r="A9" s="94">
        <v>40946</v>
      </c>
      <c r="B9" s="104">
        <v>6.3194444444444442E-2</v>
      </c>
      <c r="C9" s="61" t="s">
        <v>242</v>
      </c>
      <c r="D9" s="96">
        <v>201</v>
      </c>
      <c r="E9" s="61">
        <v>17.2</v>
      </c>
      <c r="F9" s="61">
        <v>56.1</v>
      </c>
      <c r="G9" s="61">
        <v>43.2</v>
      </c>
      <c r="H9" s="61">
        <v>6.4</v>
      </c>
      <c r="I9" s="61">
        <v>6.2</v>
      </c>
      <c r="J9" s="61">
        <v>7.1</v>
      </c>
      <c r="K9" s="61">
        <v>12.1</v>
      </c>
      <c r="L9" s="96">
        <v>15</v>
      </c>
      <c r="M9" s="61">
        <v>30.1</v>
      </c>
      <c r="N9" s="61">
        <v>46.1</v>
      </c>
      <c r="O9" s="96">
        <v>124.8</v>
      </c>
      <c r="P9" s="61">
        <v>83</v>
      </c>
      <c r="Q9" s="61">
        <v>364</v>
      </c>
      <c r="R9" s="61">
        <v>358</v>
      </c>
      <c r="S9" s="61">
        <v>3665</v>
      </c>
      <c r="T9" s="61" t="s">
        <v>217</v>
      </c>
      <c r="U9" s="61">
        <v>30</v>
      </c>
      <c r="V9" t="s">
        <v>248</v>
      </c>
    </row>
    <row r="10" spans="1:22">
      <c r="A10" s="94">
        <v>40946</v>
      </c>
      <c r="B10" s="104">
        <v>0.54166666666666663</v>
      </c>
      <c r="C10" s="61" t="s">
        <v>188</v>
      </c>
      <c r="D10" s="96">
        <v>198.4</v>
      </c>
      <c r="E10" s="96">
        <v>17</v>
      </c>
      <c r="F10" s="61">
        <v>56.7</v>
      </c>
      <c r="G10" s="61">
        <v>42.2</v>
      </c>
      <c r="H10" s="61">
        <v>6.2</v>
      </c>
      <c r="I10" s="61">
        <v>5.7</v>
      </c>
      <c r="J10" s="61">
        <v>7.1</v>
      </c>
      <c r="K10" s="61">
        <v>11.1</v>
      </c>
      <c r="L10" s="96">
        <v>14.1</v>
      </c>
      <c r="M10" s="96">
        <v>28</v>
      </c>
      <c r="N10" s="96">
        <v>46</v>
      </c>
      <c r="O10" s="96">
        <v>124.4</v>
      </c>
      <c r="P10" s="61">
        <v>83</v>
      </c>
      <c r="Q10" s="61">
        <v>364</v>
      </c>
      <c r="R10" s="61">
        <v>358</v>
      </c>
      <c r="S10" s="61">
        <v>3665</v>
      </c>
      <c r="T10" s="61" t="s">
        <v>249</v>
      </c>
      <c r="U10" s="61">
        <v>0</v>
      </c>
      <c r="V10" t="s">
        <v>275</v>
      </c>
    </row>
    <row r="11" spans="1:22">
      <c r="A11" s="94">
        <v>40952</v>
      </c>
      <c r="B11" s="104">
        <v>8.3333333333333329E-2</v>
      </c>
      <c r="C11" s="61" t="s">
        <v>242</v>
      </c>
      <c r="D11" s="96">
        <v>205.6</v>
      </c>
      <c r="E11" s="61">
        <v>17.899999999999999</v>
      </c>
      <c r="F11" s="61">
        <v>54.7</v>
      </c>
      <c r="G11" s="61">
        <v>44.7</v>
      </c>
      <c r="H11" s="61">
        <v>6.6</v>
      </c>
      <c r="I11" s="61">
        <v>6.4</v>
      </c>
      <c r="J11" s="61">
        <v>6.7</v>
      </c>
      <c r="K11" s="61">
        <v>11.4</v>
      </c>
      <c r="L11" s="96">
        <v>14.5</v>
      </c>
      <c r="M11" s="61">
        <v>29.7</v>
      </c>
      <c r="N11" s="61">
        <v>47.5</v>
      </c>
      <c r="O11" s="96">
        <v>128.4</v>
      </c>
      <c r="P11" s="61">
        <v>81</v>
      </c>
      <c r="Q11" s="61">
        <v>369</v>
      </c>
      <c r="R11" s="61">
        <v>362</v>
      </c>
      <c r="S11" s="61">
        <v>3684</v>
      </c>
      <c r="U11" s="61">
        <v>0</v>
      </c>
      <c r="V11" t="s">
        <v>269</v>
      </c>
    </row>
    <row r="12" spans="1:22">
      <c r="A12" s="94">
        <v>40953</v>
      </c>
      <c r="B12" s="104">
        <v>8.3333333333333329E-2</v>
      </c>
      <c r="C12" s="61" t="s">
        <v>242</v>
      </c>
      <c r="D12" s="96">
        <v>204</v>
      </c>
      <c r="E12" s="61">
        <v>17.7</v>
      </c>
      <c r="F12" s="61">
        <v>55.3</v>
      </c>
      <c r="G12" s="61">
        <v>43.7</v>
      </c>
      <c r="H12" s="61">
        <v>6.4</v>
      </c>
      <c r="I12" s="61">
        <v>6.2</v>
      </c>
      <c r="J12" s="61">
        <v>6.4</v>
      </c>
      <c r="K12" s="61">
        <v>12.1</v>
      </c>
      <c r="L12" s="61">
        <v>14.6</v>
      </c>
      <c r="M12" s="61">
        <v>29.7</v>
      </c>
      <c r="N12" s="61">
        <v>47.1</v>
      </c>
      <c r="O12" s="61">
        <v>127.2</v>
      </c>
      <c r="P12" s="61">
        <v>82</v>
      </c>
      <c r="Q12" s="61">
        <v>344</v>
      </c>
      <c r="R12" s="61">
        <v>344</v>
      </c>
      <c r="S12" s="61">
        <v>3514</v>
      </c>
      <c r="T12" s="61" t="s">
        <v>217</v>
      </c>
      <c r="U12" s="61">
        <v>30</v>
      </c>
      <c r="V12" t="s">
        <v>274</v>
      </c>
    </row>
    <row r="13" spans="1:22">
      <c r="A13" s="94"/>
    </row>
    <row r="14" spans="1:22">
      <c r="A14" s="94"/>
      <c r="B14" s="64"/>
      <c r="C14" s="64"/>
      <c r="D14" s="8"/>
    </row>
    <row r="15" spans="1:22">
      <c r="A15" s="94"/>
      <c r="B15" s="64"/>
      <c r="C15" s="64"/>
      <c r="D15" s="8"/>
    </row>
    <row r="16" spans="1:22">
      <c r="A16" s="94"/>
      <c r="B16" s="64"/>
      <c r="C16" s="64"/>
      <c r="D16" s="8"/>
    </row>
    <row r="17" spans="1:4">
      <c r="A17" s="94"/>
      <c r="B17" s="64"/>
      <c r="C17" s="64"/>
      <c r="D17" s="63"/>
    </row>
    <row r="18" spans="1:4">
      <c r="A18" s="94"/>
      <c r="B18" s="64"/>
      <c r="C18" s="64"/>
      <c r="D18" s="63"/>
    </row>
    <row r="19" spans="1:4">
      <c r="A19" s="94"/>
      <c r="B19" s="64"/>
      <c r="C19" s="64"/>
      <c r="D19" s="63"/>
    </row>
    <row r="20" spans="1:4">
      <c r="A20" s="94"/>
      <c r="B20" s="64"/>
      <c r="C20" s="64"/>
      <c r="D20" s="63"/>
    </row>
    <row r="21" spans="1:4">
      <c r="A21" s="94"/>
      <c r="B21" s="64"/>
      <c r="C21" s="64"/>
      <c r="D21" s="63"/>
    </row>
    <row r="22" spans="1:4">
      <c r="A22" s="94"/>
      <c r="B22" s="64"/>
      <c r="C22" s="64"/>
      <c r="D22" s="95"/>
    </row>
    <row r="23" spans="1:4">
      <c r="A23" s="94"/>
    </row>
    <row r="24" spans="1:4">
      <c r="A24" s="94"/>
    </row>
    <row r="25" spans="1:4">
      <c r="A25" s="94"/>
    </row>
    <row r="26" spans="1:4">
      <c r="A26" s="94"/>
    </row>
    <row r="27" spans="1:4">
      <c r="A27" s="94"/>
    </row>
    <row r="28" spans="1:4">
      <c r="A28" s="94"/>
    </row>
    <row r="29" spans="1:4">
      <c r="A29" s="94"/>
    </row>
    <row r="30" spans="1:4">
      <c r="A30" s="94"/>
    </row>
    <row r="31" spans="1:4">
      <c r="A31" s="94"/>
    </row>
    <row r="32" spans="1:4">
      <c r="A32" s="94"/>
    </row>
    <row r="33" spans="1:1">
      <c r="A33" s="94"/>
    </row>
    <row r="34" spans="1:1">
      <c r="A34" s="94"/>
    </row>
    <row r="35" spans="1:1">
      <c r="A35" s="94"/>
    </row>
    <row r="36" spans="1:1">
      <c r="A36" s="94"/>
    </row>
    <row r="37" spans="1:1">
      <c r="A37" s="94"/>
    </row>
    <row r="38" spans="1:1">
      <c r="A38" s="94"/>
    </row>
    <row r="39" spans="1:1">
      <c r="A39" s="94"/>
    </row>
    <row r="40" spans="1:1">
      <c r="A40" s="94"/>
    </row>
    <row r="41" spans="1:1">
      <c r="A41" s="94"/>
    </row>
    <row r="42" spans="1:1">
      <c r="A42" s="94"/>
    </row>
    <row r="43" spans="1:1">
      <c r="A43" s="94"/>
    </row>
    <row r="44" spans="1:1">
      <c r="A44" s="94"/>
    </row>
    <row r="45" spans="1:1">
      <c r="A45" s="94"/>
    </row>
    <row r="46" spans="1:1">
      <c r="A46" s="94"/>
    </row>
    <row r="47" spans="1:1">
      <c r="A47" s="94"/>
    </row>
    <row r="48" spans="1:1">
      <c r="A48" s="94"/>
    </row>
    <row r="49" spans="1:1">
      <c r="A49" s="94"/>
    </row>
    <row r="50" spans="1:1">
      <c r="A50" s="94"/>
    </row>
    <row r="51" spans="1:1">
      <c r="A51" s="94"/>
    </row>
    <row r="52" spans="1:1">
      <c r="A52" s="94"/>
    </row>
    <row r="53" spans="1:1">
      <c r="A53" s="94"/>
    </row>
    <row r="54" spans="1:1">
      <c r="A54" s="94"/>
    </row>
    <row r="55" spans="1:1">
      <c r="A55" s="94"/>
    </row>
    <row r="56" spans="1:1">
      <c r="A56" s="94"/>
    </row>
    <row r="57" spans="1:1">
      <c r="A57" s="94"/>
    </row>
    <row r="58" spans="1:1">
      <c r="A58" s="94"/>
    </row>
    <row r="59" spans="1:1">
      <c r="A59" s="94"/>
    </row>
    <row r="60" spans="1:1">
      <c r="A60" s="94"/>
    </row>
    <row r="61" spans="1:1">
      <c r="A61" s="94"/>
    </row>
    <row r="62" spans="1:1">
      <c r="A62" s="94"/>
    </row>
    <row r="63" spans="1:1">
      <c r="A63" s="94"/>
    </row>
    <row r="64" spans="1:1">
      <c r="A64" s="94"/>
    </row>
    <row r="65" spans="1:1">
      <c r="A65" s="94"/>
    </row>
    <row r="66" spans="1:1">
      <c r="A66" s="94"/>
    </row>
    <row r="67" spans="1:1">
      <c r="A67" s="94"/>
    </row>
    <row r="68" spans="1:1">
      <c r="A68" s="94"/>
    </row>
    <row r="69" spans="1:1">
      <c r="A69" s="94"/>
    </row>
    <row r="70" spans="1:1">
      <c r="A70" s="94"/>
    </row>
    <row r="71" spans="1:1">
      <c r="A71" s="94"/>
    </row>
    <row r="72" spans="1:1">
      <c r="A72" s="94"/>
    </row>
    <row r="73" spans="1:1">
      <c r="A73" s="94"/>
    </row>
    <row r="74" spans="1:1">
      <c r="A74" s="94"/>
    </row>
    <row r="75" spans="1:1">
      <c r="A75" s="94"/>
    </row>
    <row r="76" spans="1:1">
      <c r="A76" s="94"/>
    </row>
    <row r="77" spans="1:1">
      <c r="A77" s="94"/>
    </row>
    <row r="78" spans="1:1">
      <c r="A78" s="94"/>
    </row>
    <row r="79" spans="1:1">
      <c r="A79" s="94"/>
    </row>
    <row r="80" spans="1:1">
      <c r="A80" s="94"/>
    </row>
    <row r="81" spans="1:1">
      <c r="A81" s="94"/>
    </row>
    <row r="82" spans="1:1">
      <c r="A82" s="94"/>
    </row>
    <row r="83" spans="1:1">
      <c r="A83" s="94"/>
    </row>
    <row r="84" spans="1:1">
      <c r="A84" s="94"/>
    </row>
    <row r="85" spans="1:1">
      <c r="A85" s="94"/>
    </row>
    <row r="86" spans="1:1">
      <c r="A86" s="94"/>
    </row>
    <row r="87" spans="1:1">
      <c r="A87" s="94"/>
    </row>
    <row r="88" spans="1:1">
      <c r="A88" s="94"/>
    </row>
    <row r="89" spans="1:1">
      <c r="A89" s="94"/>
    </row>
    <row r="90" spans="1:1">
      <c r="A90" s="94"/>
    </row>
    <row r="91" spans="1:1">
      <c r="A91" s="94"/>
    </row>
    <row r="92" spans="1:1">
      <c r="A92" s="94"/>
    </row>
    <row r="93" spans="1:1">
      <c r="A93" s="94"/>
    </row>
    <row r="94" spans="1:1">
      <c r="A94" s="94"/>
    </row>
    <row r="95" spans="1:1">
      <c r="A95" s="94"/>
    </row>
    <row r="96" spans="1:1">
      <c r="A96" s="94"/>
    </row>
    <row r="97" spans="1:1">
      <c r="A97" s="94"/>
    </row>
    <row r="98" spans="1:1">
      <c r="A98" s="94"/>
    </row>
    <row r="99" spans="1:1">
      <c r="A99" s="94"/>
    </row>
    <row r="100" spans="1:1">
      <c r="A100" s="94"/>
    </row>
    <row r="101" spans="1:1">
      <c r="A101" s="94"/>
    </row>
    <row r="102" spans="1:1">
      <c r="A102" s="94"/>
    </row>
    <row r="103" spans="1:1">
      <c r="A103" s="94"/>
    </row>
    <row r="104" spans="1:1">
      <c r="A104" s="94"/>
    </row>
    <row r="105" spans="1:1">
      <c r="A105" s="94"/>
    </row>
    <row r="106" spans="1:1">
      <c r="A106" s="94"/>
    </row>
    <row r="107" spans="1:1">
      <c r="A107" s="94"/>
    </row>
    <row r="108" spans="1:1">
      <c r="A108" s="94"/>
    </row>
    <row r="109" spans="1:1">
      <c r="A109" s="94"/>
    </row>
    <row r="110" spans="1:1">
      <c r="A110" s="94"/>
    </row>
    <row r="111" spans="1:1">
      <c r="A111" s="94"/>
    </row>
    <row r="112" spans="1:1">
      <c r="A112" s="94"/>
    </row>
    <row r="113" spans="1:1">
      <c r="A113" s="94"/>
    </row>
    <row r="114" spans="1:1">
      <c r="A114" s="94"/>
    </row>
    <row r="115" spans="1:1">
      <c r="A115" s="94"/>
    </row>
    <row r="116" spans="1:1">
      <c r="A116" s="94"/>
    </row>
    <row r="117" spans="1:1">
      <c r="A117" s="94"/>
    </row>
    <row r="118" spans="1:1">
      <c r="A118" s="94"/>
    </row>
    <row r="119" spans="1:1">
      <c r="A119" s="94"/>
    </row>
    <row r="120" spans="1:1">
      <c r="A120" s="94"/>
    </row>
    <row r="121" spans="1:1">
      <c r="A121" s="94"/>
    </row>
    <row r="122" spans="1:1">
      <c r="A122" s="94"/>
    </row>
    <row r="123" spans="1:1">
      <c r="A123" s="94"/>
    </row>
    <row r="124" spans="1:1">
      <c r="A124" s="94"/>
    </row>
    <row r="125" spans="1:1">
      <c r="A125" s="94"/>
    </row>
    <row r="126" spans="1:1">
      <c r="A126" s="94"/>
    </row>
    <row r="127" spans="1:1">
      <c r="A127" s="94"/>
    </row>
    <row r="128" spans="1:1">
      <c r="A128" s="94"/>
    </row>
    <row r="129" spans="1:1">
      <c r="A129" s="94"/>
    </row>
    <row r="130" spans="1:1">
      <c r="A130" s="94"/>
    </row>
    <row r="131" spans="1:1">
      <c r="A131" s="94"/>
    </row>
    <row r="132" spans="1:1">
      <c r="A132" s="94"/>
    </row>
    <row r="133" spans="1:1">
      <c r="A133" s="94"/>
    </row>
    <row r="134" spans="1:1">
      <c r="A134" s="94"/>
    </row>
    <row r="135" spans="1:1">
      <c r="A135" s="94"/>
    </row>
    <row r="136" spans="1:1">
      <c r="A136" s="94"/>
    </row>
    <row r="137" spans="1:1">
      <c r="A137" s="94"/>
    </row>
    <row r="138" spans="1:1">
      <c r="A138" s="94"/>
    </row>
    <row r="139" spans="1:1">
      <c r="A139" s="94"/>
    </row>
    <row r="140" spans="1:1">
      <c r="A140" s="94"/>
    </row>
    <row r="141" spans="1:1">
      <c r="A141" s="94"/>
    </row>
    <row r="142" spans="1:1">
      <c r="A142" s="94"/>
    </row>
    <row r="143" spans="1:1">
      <c r="A143" s="94"/>
    </row>
    <row r="144" spans="1:1">
      <c r="A144" s="94"/>
    </row>
    <row r="145" spans="1:1">
      <c r="A145" s="94"/>
    </row>
    <row r="146" spans="1:1">
      <c r="A146" s="94"/>
    </row>
    <row r="147" spans="1:1">
      <c r="A147" s="94"/>
    </row>
    <row r="148" spans="1:1">
      <c r="A148" s="94"/>
    </row>
    <row r="149" spans="1:1">
      <c r="A149" s="94"/>
    </row>
    <row r="150" spans="1:1">
      <c r="A150" s="94"/>
    </row>
    <row r="151" spans="1:1">
      <c r="A151" s="94"/>
    </row>
    <row r="152" spans="1:1">
      <c r="A152" s="94"/>
    </row>
    <row r="153" spans="1:1">
      <c r="A153" s="94"/>
    </row>
    <row r="154" spans="1:1">
      <c r="A154" s="94"/>
    </row>
    <row r="155" spans="1:1">
      <c r="A155" s="94"/>
    </row>
    <row r="156" spans="1:1">
      <c r="A156" s="94"/>
    </row>
    <row r="157" spans="1:1">
      <c r="A157" s="94"/>
    </row>
    <row r="158" spans="1:1">
      <c r="A158" s="94"/>
    </row>
    <row r="159" spans="1:1">
      <c r="A159" s="94"/>
    </row>
    <row r="160" spans="1:1">
      <c r="A160" s="94"/>
    </row>
    <row r="161" spans="1:1">
      <c r="A161" s="94"/>
    </row>
    <row r="162" spans="1:1">
      <c r="A162" s="94"/>
    </row>
    <row r="163" spans="1:1">
      <c r="A163" s="94"/>
    </row>
    <row r="164" spans="1:1">
      <c r="A164" s="94"/>
    </row>
    <row r="165" spans="1:1">
      <c r="A165" s="94"/>
    </row>
    <row r="166" spans="1:1">
      <c r="A166" s="94"/>
    </row>
    <row r="167" spans="1:1">
      <c r="A167" s="94"/>
    </row>
    <row r="168" spans="1:1">
      <c r="A168" s="94"/>
    </row>
    <row r="169" spans="1:1">
      <c r="A169" s="94"/>
    </row>
    <row r="170" spans="1:1">
      <c r="A170" s="94"/>
    </row>
    <row r="171" spans="1:1">
      <c r="A171" s="94"/>
    </row>
    <row r="172" spans="1:1">
      <c r="A172" s="94"/>
    </row>
    <row r="173" spans="1:1">
      <c r="A173" s="94"/>
    </row>
    <row r="174" spans="1:1">
      <c r="A174" s="94"/>
    </row>
    <row r="175" spans="1:1">
      <c r="A175" s="94"/>
    </row>
    <row r="176" spans="1:1">
      <c r="A176" s="94"/>
    </row>
    <row r="177" spans="1:1">
      <c r="A177" s="94"/>
    </row>
    <row r="178" spans="1:1">
      <c r="A178" s="94"/>
    </row>
    <row r="179" spans="1:1">
      <c r="A179" s="94"/>
    </row>
    <row r="180" spans="1:1">
      <c r="A180" s="94"/>
    </row>
    <row r="181" spans="1:1">
      <c r="A181" s="94"/>
    </row>
    <row r="182" spans="1:1">
      <c r="A182" s="94"/>
    </row>
    <row r="183" spans="1:1">
      <c r="A183" s="94"/>
    </row>
    <row r="184" spans="1:1">
      <c r="A184" s="94"/>
    </row>
    <row r="185" spans="1:1">
      <c r="A185" s="94"/>
    </row>
    <row r="186" spans="1:1">
      <c r="A186" s="94"/>
    </row>
    <row r="187" spans="1:1">
      <c r="A187" s="94"/>
    </row>
    <row r="188" spans="1:1">
      <c r="A188" s="94"/>
    </row>
    <row r="189" spans="1:1">
      <c r="A189" s="94"/>
    </row>
    <row r="190" spans="1:1">
      <c r="A190" s="94"/>
    </row>
    <row r="191" spans="1:1">
      <c r="A191" s="94"/>
    </row>
    <row r="192" spans="1:1">
      <c r="A192" s="94"/>
    </row>
    <row r="193" spans="1:1">
      <c r="A193" s="94"/>
    </row>
    <row r="194" spans="1:1">
      <c r="A194" s="94"/>
    </row>
    <row r="195" spans="1:1">
      <c r="A195" s="94"/>
    </row>
    <row r="196" spans="1:1">
      <c r="A196" s="94"/>
    </row>
    <row r="197" spans="1:1">
      <c r="A197" s="94"/>
    </row>
    <row r="198" spans="1:1">
      <c r="A198" s="94"/>
    </row>
    <row r="199" spans="1:1">
      <c r="A199" s="94"/>
    </row>
    <row r="200" spans="1:1">
      <c r="A200" s="94"/>
    </row>
    <row r="201" spans="1:1">
      <c r="A201" s="94"/>
    </row>
    <row r="202" spans="1:1">
      <c r="A202" s="94"/>
    </row>
    <row r="203" spans="1:1">
      <c r="A203" s="94"/>
    </row>
    <row r="204" spans="1:1">
      <c r="A204" s="94"/>
    </row>
    <row r="205" spans="1:1">
      <c r="A205" s="94"/>
    </row>
    <row r="206" spans="1:1">
      <c r="A206" s="94"/>
    </row>
    <row r="207" spans="1:1">
      <c r="A207" s="94"/>
    </row>
    <row r="208" spans="1:1">
      <c r="A208" s="94"/>
    </row>
    <row r="209" spans="1:1">
      <c r="A209" s="94"/>
    </row>
    <row r="210" spans="1:1">
      <c r="A210" s="94"/>
    </row>
    <row r="211" spans="1:1">
      <c r="A211" s="94"/>
    </row>
    <row r="212" spans="1:1">
      <c r="A212" s="94"/>
    </row>
    <row r="213" spans="1:1">
      <c r="A213" s="94"/>
    </row>
    <row r="214" spans="1:1">
      <c r="A214" s="94"/>
    </row>
    <row r="215" spans="1:1">
      <c r="A215" s="94"/>
    </row>
    <row r="216" spans="1:1">
      <c r="A216" s="94"/>
    </row>
    <row r="217" spans="1:1">
      <c r="A217" s="9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D34" sqref="D34"/>
    </sheetView>
  </sheetViews>
  <sheetFormatPr baseColWidth="10" defaultRowHeight="16" x14ac:dyDescent="0"/>
  <cols>
    <col min="1" max="1" width="29.83203125" style="46" customWidth="1"/>
    <col min="2" max="2" width="12.6640625" style="48" bestFit="1" customWidth="1"/>
    <col min="3" max="3" width="9.1640625" style="48" bestFit="1" customWidth="1"/>
    <col min="4" max="4" width="18.1640625" style="82" customWidth="1"/>
    <col min="5" max="5" width="11.6640625" style="67" bestFit="1" customWidth="1"/>
    <col min="6" max="6" width="16.33203125" style="67" bestFit="1" customWidth="1"/>
    <col min="7" max="7" width="15" style="67" bestFit="1" customWidth="1"/>
    <col min="8" max="8" width="13" style="67" bestFit="1" customWidth="1"/>
    <col min="9" max="9" width="10.83203125" style="67" bestFit="1" customWidth="1"/>
    <col min="10" max="10" width="15.5" style="67" bestFit="1" customWidth="1"/>
    <col min="11" max="12" width="13.83203125" style="67" bestFit="1" customWidth="1"/>
    <col min="13" max="13" width="15.5" style="67" bestFit="1" customWidth="1"/>
    <col min="14" max="15" width="13.83203125" style="67" bestFit="1" customWidth="1"/>
    <col min="16" max="16384" width="10.83203125" style="46"/>
  </cols>
  <sheetData>
    <row r="1" spans="1:13" ht="25">
      <c r="A1" s="93" t="s">
        <v>162</v>
      </c>
      <c r="C1" s="46"/>
      <c r="D1" s="67"/>
      <c r="I1" s="68"/>
    </row>
    <row r="2" spans="1:13">
      <c r="C2" s="34"/>
      <c r="D2" s="69"/>
      <c r="I2" s="24"/>
    </row>
    <row r="3" spans="1:13">
      <c r="A3" s="12" t="s">
        <v>149</v>
      </c>
      <c r="B3" s="88" t="s">
        <v>148</v>
      </c>
      <c r="C3" s="89" t="s">
        <v>159</v>
      </c>
      <c r="D3" s="88" t="s">
        <v>158</v>
      </c>
      <c r="E3" s="86" t="s">
        <v>154</v>
      </c>
      <c r="F3" s="87" t="s">
        <v>153</v>
      </c>
      <c r="G3" s="86" t="s">
        <v>150</v>
      </c>
      <c r="H3" s="85" t="s">
        <v>156</v>
      </c>
      <c r="I3" s="85" t="s">
        <v>155</v>
      </c>
      <c r="J3" s="85" t="s">
        <v>157</v>
      </c>
      <c r="K3" s="84" t="s">
        <v>160</v>
      </c>
      <c r="L3" s="84" t="s">
        <v>161</v>
      </c>
    </row>
    <row r="4" spans="1:13">
      <c r="A4" s="24" t="s">
        <v>151</v>
      </c>
      <c r="B4" s="70">
        <v>1.4</v>
      </c>
      <c r="C4" s="71">
        <v>6.49</v>
      </c>
      <c r="D4" s="72">
        <f>C4*B4</f>
        <v>9.0860000000000003</v>
      </c>
      <c r="E4" s="70">
        <v>1.4039999999999999</v>
      </c>
      <c r="F4" s="70">
        <v>0</v>
      </c>
      <c r="G4" s="70">
        <v>1.212</v>
      </c>
      <c r="H4" s="73">
        <f>1-E4/B4</f>
        <v>-2.8571428571428914E-3</v>
      </c>
      <c r="I4" s="73">
        <f>F4/E4</f>
        <v>0</v>
      </c>
      <c r="J4" s="73">
        <f>1-G4/E4</f>
        <v>0.13675213675213671</v>
      </c>
      <c r="K4" s="72">
        <f>D4/G4</f>
        <v>7.496699669966997</v>
      </c>
      <c r="L4" s="90">
        <f>K4/C4-1</f>
        <v>0.15511551155115511</v>
      </c>
    </row>
    <row r="5" spans="1:13">
      <c r="A5" s="24" t="s">
        <v>152</v>
      </c>
      <c r="B5" s="70">
        <v>3.53</v>
      </c>
      <c r="C5" s="71">
        <v>1.99</v>
      </c>
      <c r="D5" s="72">
        <f>C5*B5</f>
        <v>7.0246999999999993</v>
      </c>
      <c r="E5" s="70">
        <v>3.3759999999999999</v>
      </c>
      <c r="F5" s="70">
        <v>7.1999999999999995E-2</v>
      </c>
      <c r="G5" s="70">
        <v>2.714</v>
      </c>
      <c r="H5" s="73">
        <f>1-E5/B5</f>
        <v>4.3626062322946191E-2</v>
      </c>
      <c r="I5" s="73">
        <f t="shared" ref="I5:I7" si="0">F5/E5</f>
        <v>2.1327014218009477E-2</v>
      </c>
      <c r="J5" s="73">
        <f t="shared" ref="J5:J7" si="1">1-G5/E5</f>
        <v>0.19609004739336489</v>
      </c>
      <c r="K5" s="72">
        <f t="shared" ref="K5:K6" si="2">D5/G5</f>
        <v>2.5883198231392774</v>
      </c>
      <c r="L5" s="90">
        <f>K5/C5-1</f>
        <v>0.30066322770817955</v>
      </c>
    </row>
    <row r="6" spans="1:13">
      <c r="A6" s="24" t="s">
        <v>152</v>
      </c>
      <c r="B6" s="70">
        <v>3.13</v>
      </c>
      <c r="C6" s="71">
        <v>1.99</v>
      </c>
      <c r="D6" s="72">
        <f>C6*B6</f>
        <v>6.2286999999999999</v>
      </c>
      <c r="E6" s="70">
        <v>2.976</v>
      </c>
      <c r="F6" s="70">
        <v>0.12</v>
      </c>
      <c r="G6" s="70">
        <v>2.41</v>
      </c>
      <c r="H6" s="73">
        <f>1-E6/B6</f>
        <v>4.9201277955271516E-2</v>
      </c>
      <c r="I6" s="73">
        <f t="shared" si="0"/>
        <v>4.0322580645161289E-2</v>
      </c>
      <c r="J6" s="73">
        <f t="shared" si="1"/>
        <v>0.19018817204301075</v>
      </c>
      <c r="K6" s="72">
        <f t="shared" si="2"/>
        <v>2.5845228215767633</v>
      </c>
      <c r="L6" s="90">
        <f>K6/C6-1</f>
        <v>0.29875518672199153</v>
      </c>
    </row>
    <row r="7" spans="1:13">
      <c r="A7" s="75" t="s">
        <v>33</v>
      </c>
      <c r="B7" s="76">
        <f>SUM(B4:B6)</f>
        <v>8.0599999999999987</v>
      </c>
      <c r="C7" s="91">
        <f>SUM(C4:C6)/3</f>
        <v>3.49</v>
      </c>
      <c r="D7" s="77">
        <f t="shared" ref="D7:G7" si="3">SUM(D4:D6)</f>
        <v>22.339400000000001</v>
      </c>
      <c r="E7" s="76">
        <f t="shared" si="3"/>
        <v>7.7559999999999993</v>
      </c>
      <c r="F7" s="76">
        <f t="shared" si="3"/>
        <v>0.192</v>
      </c>
      <c r="G7" s="76">
        <f t="shared" si="3"/>
        <v>6.3360000000000003</v>
      </c>
      <c r="H7" s="78">
        <f>1-E7/B7</f>
        <v>3.7717121588089264E-2</v>
      </c>
      <c r="I7" s="78">
        <f t="shared" si="0"/>
        <v>2.4755028365136673E-2</v>
      </c>
      <c r="J7" s="78">
        <f t="shared" si="1"/>
        <v>0.18308406395048982</v>
      </c>
      <c r="K7" s="77">
        <f>SUM(K4:K6)/3</f>
        <v>4.2231807715610126</v>
      </c>
      <c r="L7" s="92">
        <f>K7/C7-1</f>
        <v>0.21008045030401501</v>
      </c>
    </row>
    <row r="8" spans="1:13">
      <c r="C8" s="34"/>
    </row>
    <row r="9" spans="1:13">
      <c r="C9" s="34"/>
      <c r="D9" s="69"/>
      <c r="J9" s="79"/>
      <c r="K9" s="79"/>
      <c r="L9" s="80"/>
      <c r="M9" s="74"/>
    </row>
    <row r="10" spans="1:13">
      <c r="C10" s="34"/>
      <c r="D10" s="69"/>
      <c r="J10" s="79"/>
      <c r="K10" s="79"/>
      <c r="L10" s="80"/>
      <c r="M10" s="74"/>
    </row>
    <row r="11" spans="1:13">
      <c r="C11" s="34"/>
      <c r="D11" s="69"/>
      <c r="J11" s="79"/>
      <c r="K11" s="79"/>
      <c r="L11" s="80"/>
      <c r="M11" s="74"/>
    </row>
    <row r="12" spans="1:13" ht="25">
      <c r="A12" s="93" t="s">
        <v>181</v>
      </c>
      <c r="C12" s="34"/>
      <c r="D12" s="93" t="s">
        <v>270</v>
      </c>
      <c r="E12" s="48"/>
      <c r="J12" s="79"/>
      <c r="K12" s="79"/>
      <c r="L12" s="80"/>
      <c r="M12" s="93" t="s">
        <v>250</v>
      </c>
    </row>
    <row r="13" spans="1:13">
      <c r="C13" s="34"/>
      <c r="D13" s="46"/>
      <c r="E13" s="48"/>
      <c r="J13" s="79"/>
      <c r="K13" s="79"/>
      <c r="L13" s="80"/>
      <c r="M13" s="46" t="s">
        <v>251</v>
      </c>
    </row>
    <row r="14" spans="1:13">
      <c r="A14" s="47" t="s">
        <v>34</v>
      </c>
      <c r="B14" s="102" t="s">
        <v>159</v>
      </c>
      <c r="C14" s="34"/>
      <c r="D14" s="47" t="s">
        <v>34</v>
      </c>
      <c r="E14" s="102" t="s">
        <v>159</v>
      </c>
      <c r="J14" s="79"/>
      <c r="K14" s="79"/>
      <c r="L14" s="80"/>
      <c r="M14" s="46" t="s">
        <v>252</v>
      </c>
    </row>
    <row r="15" spans="1:13">
      <c r="A15" s="17" t="s">
        <v>94</v>
      </c>
      <c r="B15" s="101">
        <v>0.28999999999999998</v>
      </c>
      <c r="C15" s="34"/>
      <c r="D15" s="17" t="s">
        <v>271</v>
      </c>
      <c r="E15" s="101">
        <v>1.6</v>
      </c>
      <c r="J15" s="79"/>
      <c r="K15" s="79"/>
      <c r="L15" s="80"/>
      <c r="M15" s="46" t="s">
        <v>253</v>
      </c>
    </row>
    <row r="16" spans="1:13">
      <c r="A16" s="17" t="s">
        <v>111</v>
      </c>
      <c r="B16" s="101">
        <v>0.69</v>
      </c>
      <c r="C16" s="34"/>
      <c r="D16" s="17" t="s">
        <v>12</v>
      </c>
      <c r="E16" s="101">
        <v>0.99750000000000005</v>
      </c>
      <c r="J16" s="79"/>
      <c r="K16" s="79"/>
      <c r="L16" s="80"/>
      <c r="M16" s="74"/>
    </row>
    <row r="17" spans="1:13">
      <c r="A17" s="17" t="s">
        <v>112</v>
      </c>
      <c r="B17" s="101">
        <v>0.59</v>
      </c>
      <c r="C17" s="34"/>
      <c r="D17" s="17" t="s">
        <v>21</v>
      </c>
      <c r="E17" s="101">
        <v>1.5960000000000001</v>
      </c>
      <c r="F17" s="21"/>
      <c r="G17" s="21"/>
      <c r="H17" s="8"/>
      <c r="J17" s="79"/>
      <c r="K17" s="79"/>
      <c r="L17" s="80"/>
      <c r="M17" s="74"/>
    </row>
    <row r="18" spans="1:13">
      <c r="A18" s="17" t="s">
        <v>63</v>
      </c>
      <c r="B18" s="101">
        <v>0.79</v>
      </c>
      <c r="C18" s="34"/>
      <c r="D18" s="17" t="s">
        <v>272</v>
      </c>
      <c r="E18" s="101">
        <v>2.99</v>
      </c>
      <c r="F18" s="21"/>
      <c r="G18" s="21"/>
      <c r="H18" s="8"/>
    </row>
    <row r="19" spans="1:13">
      <c r="A19" s="17" t="s">
        <v>113</v>
      </c>
      <c r="B19" s="101">
        <v>0.28999999999999998</v>
      </c>
      <c r="C19" s="34"/>
      <c r="D19" s="17"/>
      <c r="E19" s="101"/>
      <c r="F19" s="21"/>
      <c r="G19" s="21"/>
      <c r="H19" s="8"/>
    </row>
    <row r="20" spans="1:13">
      <c r="A20" s="17" t="s">
        <v>114</v>
      </c>
      <c r="B20" s="101">
        <v>1.59</v>
      </c>
      <c r="C20" s="34"/>
      <c r="D20" s="17"/>
      <c r="E20" s="101"/>
      <c r="F20" s="21"/>
      <c r="G20" s="21"/>
      <c r="H20" s="8"/>
      <c r="J20" s="81"/>
    </row>
    <row r="21" spans="1:13">
      <c r="A21" s="17" t="s">
        <v>115</v>
      </c>
      <c r="B21" s="101">
        <v>1.99</v>
      </c>
      <c r="C21" s="34"/>
      <c r="D21" s="17"/>
      <c r="E21" s="101"/>
      <c r="F21" s="21"/>
      <c r="G21" s="21"/>
      <c r="H21" s="8"/>
    </row>
    <row r="22" spans="1:13">
      <c r="A22" s="17" t="s">
        <v>116</v>
      </c>
      <c r="B22" s="101">
        <v>0.59</v>
      </c>
      <c r="C22" s="34"/>
      <c r="D22" s="17"/>
      <c r="E22" s="101"/>
      <c r="F22" s="21"/>
      <c r="G22" s="21"/>
      <c r="H22" s="8"/>
    </row>
    <row r="23" spans="1:13">
      <c r="A23" s="17" t="s">
        <v>12</v>
      </c>
      <c r="B23" s="101">
        <v>0.69</v>
      </c>
      <c r="C23" s="34"/>
      <c r="D23" s="17"/>
      <c r="E23" s="101"/>
      <c r="F23" s="21"/>
      <c r="G23" s="21"/>
      <c r="H23" s="8"/>
    </row>
    <row r="24" spans="1:13">
      <c r="A24" s="17" t="s">
        <v>117</v>
      </c>
      <c r="B24" s="101">
        <v>3.89</v>
      </c>
      <c r="C24" s="34"/>
      <c r="D24" s="17"/>
      <c r="E24" s="101"/>
      <c r="F24" s="21"/>
      <c r="G24" s="21"/>
      <c r="H24" s="8"/>
    </row>
    <row r="25" spans="1:13">
      <c r="A25" s="17" t="s">
        <v>118</v>
      </c>
      <c r="B25" s="101">
        <v>0.39</v>
      </c>
      <c r="D25" s="17"/>
      <c r="E25" s="101"/>
    </row>
    <row r="26" spans="1:13">
      <c r="A26" s="17" t="s">
        <v>66</v>
      </c>
      <c r="B26" s="101">
        <v>0.69</v>
      </c>
      <c r="K26" s="83"/>
    </row>
    <row r="27" spans="1:13">
      <c r="A27" s="17" t="s">
        <v>105</v>
      </c>
      <c r="B27" s="101">
        <v>5.99</v>
      </c>
    </row>
    <row r="28" spans="1:13">
      <c r="A28" s="17" t="s">
        <v>46</v>
      </c>
      <c r="B28" s="101">
        <v>0.99</v>
      </c>
    </row>
    <row r="29" spans="1:13">
      <c r="A29" s="17" t="s">
        <v>54</v>
      </c>
      <c r="B29" s="101">
        <v>0.59</v>
      </c>
    </row>
    <row r="30" spans="1:13">
      <c r="A30" s="46" t="s">
        <v>21</v>
      </c>
      <c r="B30" s="101">
        <v>1.39</v>
      </c>
    </row>
    <row r="33" spans="1:1" ht="25">
      <c r="A33" s="93" t="s">
        <v>182</v>
      </c>
    </row>
    <row r="35" spans="1:1">
      <c r="A35" s="65" t="s">
        <v>120</v>
      </c>
    </row>
    <row r="36" spans="1:1">
      <c r="A36" s="65" t="s">
        <v>122</v>
      </c>
    </row>
    <row r="37" spans="1:1">
      <c r="A37" s="66" t="s">
        <v>121</v>
      </c>
    </row>
    <row r="38" spans="1:1">
      <c r="A38" s="66" t="s">
        <v>123</v>
      </c>
    </row>
    <row r="41" spans="1:1" ht="25">
      <c r="A41" s="93" t="s">
        <v>209</v>
      </c>
    </row>
    <row r="43" spans="1:1">
      <c r="A43" s="46" t="s">
        <v>212</v>
      </c>
    </row>
    <row r="44" spans="1:1">
      <c r="A44" s="46" t="s">
        <v>210</v>
      </c>
    </row>
    <row r="45" spans="1:1">
      <c r="A45" s="46" t="s">
        <v>211</v>
      </c>
    </row>
    <row r="48" spans="1:1" ht="25">
      <c r="A48" s="93" t="s">
        <v>262</v>
      </c>
    </row>
    <row r="50" spans="1:1">
      <c r="A50" s="46" t="s">
        <v>266</v>
      </c>
    </row>
    <row r="51" spans="1:1">
      <c r="A51" s="46" t="s">
        <v>263</v>
      </c>
    </row>
    <row r="52" spans="1:1">
      <c r="A52" s="46" t="s">
        <v>264</v>
      </c>
    </row>
    <row r="53" spans="1:1">
      <c r="A53" s="46" t="s">
        <v>265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8" sqref="E28"/>
    </sheetView>
  </sheetViews>
  <sheetFormatPr baseColWidth="10" defaultRowHeight="15" x14ac:dyDescent="0"/>
  <cols>
    <col min="1" max="1" width="8" style="61" customWidth="1"/>
    <col min="2" max="2" width="20.83203125" bestFit="1" customWidth="1"/>
    <col min="3" max="3" width="10.83203125" style="61"/>
    <col min="5" max="5" width="113.1640625" style="123" bestFit="1" customWidth="1"/>
  </cols>
  <sheetData>
    <row r="1" spans="1:5">
      <c r="A1" s="120" t="s">
        <v>131</v>
      </c>
      <c r="B1" s="124" t="s">
        <v>188</v>
      </c>
      <c r="C1" s="124" t="s">
        <v>230</v>
      </c>
      <c r="D1" s="125" t="s">
        <v>187</v>
      </c>
      <c r="E1" s="126" t="s">
        <v>230</v>
      </c>
    </row>
    <row r="2" spans="1:5">
      <c r="A2" s="121" t="s">
        <v>218</v>
      </c>
      <c r="B2" s="127" t="s">
        <v>229</v>
      </c>
      <c r="D2" s="122" t="s">
        <v>225</v>
      </c>
      <c r="E2" s="123" t="s">
        <v>231</v>
      </c>
    </row>
    <row r="3" spans="1:5">
      <c r="A3" s="121" t="s">
        <v>219</v>
      </c>
      <c r="B3" s="127" t="s">
        <v>236</v>
      </c>
      <c r="D3" s="122" t="s">
        <v>226</v>
      </c>
      <c r="E3" s="123" t="s">
        <v>232</v>
      </c>
    </row>
    <row r="4" spans="1:5">
      <c r="A4" s="61" t="s">
        <v>220</v>
      </c>
      <c r="B4" s="127" t="s">
        <v>237</v>
      </c>
      <c r="D4" s="61" t="s">
        <v>227</v>
      </c>
      <c r="E4" s="123" t="s">
        <v>233</v>
      </c>
    </row>
    <row r="5" spans="1:5">
      <c r="A5" s="61" t="s">
        <v>221</v>
      </c>
      <c r="B5" s="127" t="s">
        <v>236</v>
      </c>
      <c r="D5" s="61" t="s">
        <v>228</v>
      </c>
      <c r="E5" s="123" t="s">
        <v>234</v>
      </c>
    </row>
    <row r="6" spans="1:5">
      <c r="A6" s="61" t="s">
        <v>222</v>
      </c>
      <c r="B6" s="127" t="s">
        <v>239</v>
      </c>
      <c r="D6" s="61" t="s">
        <v>229</v>
      </c>
      <c r="E6" s="123" t="s">
        <v>235</v>
      </c>
    </row>
    <row r="7" spans="1:5">
      <c r="A7" s="61" t="s">
        <v>223</v>
      </c>
      <c r="B7" s="127" t="s">
        <v>236</v>
      </c>
      <c r="D7" s="61"/>
    </row>
    <row r="8" spans="1:5">
      <c r="A8" s="61" t="s">
        <v>224</v>
      </c>
      <c r="B8" s="127" t="s">
        <v>238</v>
      </c>
      <c r="D8" s="61"/>
    </row>
    <row r="9" spans="1:5">
      <c r="A9"/>
      <c r="B9" s="61"/>
      <c r="C9"/>
      <c r="D9" s="123"/>
      <c r="E9"/>
    </row>
    <row r="10" spans="1:5">
      <c r="A10"/>
      <c r="B10" s="61"/>
      <c r="C10"/>
      <c r="D10" s="123"/>
      <c r="E10"/>
    </row>
    <row r="11" spans="1:5">
      <c r="A11"/>
      <c r="B11" s="61"/>
      <c r="C11"/>
      <c r="D11" s="123"/>
      <c r="E11"/>
    </row>
    <row r="12" spans="1:5">
      <c r="A12"/>
      <c r="B12" s="61"/>
      <c r="C12"/>
      <c r="D12" s="123"/>
      <c r="E12"/>
    </row>
    <row r="13" spans="1:5">
      <c r="A13"/>
      <c r="B13" s="61"/>
      <c r="C13"/>
      <c r="D13" s="123"/>
      <c r="E13"/>
    </row>
    <row r="14" spans="1:5">
      <c r="A14"/>
      <c r="B14" s="61"/>
      <c r="C14"/>
      <c r="D14" s="123"/>
      <c r="E14"/>
    </row>
    <row r="15" spans="1:5">
      <c r="A15"/>
      <c r="B15" s="61"/>
      <c r="C15"/>
      <c r="D15" s="123"/>
      <c r="E15"/>
    </row>
    <row r="16" spans="1:5">
      <c r="A16"/>
      <c r="B16" s="61"/>
      <c r="C16"/>
      <c r="D16" s="123"/>
      <c r="E16"/>
    </row>
    <row r="17" spans="1:5">
      <c r="A17"/>
      <c r="B17" s="61"/>
      <c r="C17"/>
      <c r="D17" s="123"/>
      <c r="E17"/>
    </row>
    <row r="18" spans="1:5">
      <c r="A18"/>
      <c r="B18" s="61"/>
      <c r="C18"/>
      <c r="D18" s="123"/>
      <c r="E1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A24" sqref="A24"/>
    </sheetView>
  </sheetViews>
  <sheetFormatPr baseColWidth="10" defaultRowHeight="15" x14ac:dyDescent="0"/>
  <cols>
    <col min="1" max="1" width="12.83203125" bestFit="1" customWidth="1"/>
    <col min="2" max="2" width="11.83203125" bestFit="1" customWidth="1"/>
    <col min="3" max="3" width="11" bestFit="1" customWidth="1"/>
    <col min="4" max="4" width="8.5" bestFit="1" customWidth="1"/>
    <col min="5" max="5" width="10" bestFit="1" customWidth="1"/>
    <col min="6" max="6" width="13.83203125" bestFit="1" customWidth="1"/>
    <col min="7" max="7" width="6.6640625" bestFit="1" customWidth="1"/>
    <col min="8" max="8" width="6" bestFit="1" customWidth="1"/>
    <col min="9" max="9" width="10.6640625" bestFit="1" customWidth="1"/>
  </cols>
  <sheetData>
    <row r="1" spans="1:8">
      <c r="A1" s="100"/>
    </row>
    <row r="4" spans="1:8">
      <c r="A4" s="94"/>
      <c r="B4" s="64"/>
      <c r="C4" s="95"/>
      <c r="D4" s="95"/>
      <c r="E4" s="61"/>
      <c r="F4" s="96"/>
      <c r="G4" s="96"/>
      <c r="H4" s="96"/>
    </row>
    <row r="5" spans="1:8">
      <c r="A5" s="94"/>
      <c r="B5" s="64"/>
      <c r="C5" s="95"/>
      <c r="D5" s="95"/>
      <c r="E5" s="61"/>
      <c r="F5" s="96"/>
      <c r="G5" s="96"/>
      <c r="H5" s="96"/>
    </row>
    <row r="8" spans="1:8">
      <c r="A8" t="s">
        <v>180</v>
      </c>
    </row>
    <row r="9" spans="1:8">
      <c r="A9" s="14" t="s">
        <v>146</v>
      </c>
      <c r="B9" s="62" t="s">
        <v>137</v>
      </c>
      <c r="C9" s="14" t="s">
        <v>147</v>
      </c>
      <c r="D9" s="14" t="s">
        <v>4</v>
      </c>
    </row>
    <row r="10" spans="1:8">
      <c r="A10" s="60">
        <v>40877</v>
      </c>
      <c r="B10" s="64">
        <v>212</v>
      </c>
      <c r="C10" s="8"/>
      <c r="D10" s="61"/>
    </row>
    <row r="11" spans="1:8">
      <c r="A11" s="60">
        <v>40885</v>
      </c>
      <c r="B11" s="64">
        <v>208.9</v>
      </c>
      <c r="C11" s="8">
        <v>18.350000000000001</v>
      </c>
      <c r="D11" s="61"/>
    </row>
    <row r="12" spans="1:8">
      <c r="A12" s="60">
        <v>40886</v>
      </c>
      <c r="B12" s="64">
        <v>208</v>
      </c>
      <c r="C12" s="8"/>
      <c r="D12" s="61"/>
    </row>
    <row r="13" spans="1:8">
      <c r="A13" s="60">
        <v>40892</v>
      </c>
      <c r="B13" s="64">
        <v>209</v>
      </c>
      <c r="C13" s="8"/>
      <c r="D13" s="61"/>
    </row>
    <row r="14" spans="1:8">
      <c r="A14" s="60">
        <v>40894</v>
      </c>
      <c r="B14" s="64">
        <v>206.7</v>
      </c>
      <c r="C14" s="63"/>
      <c r="D14" s="61"/>
    </row>
    <row r="15" spans="1:8">
      <c r="A15" s="60">
        <v>40896</v>
      </c>
      <c r="B15" s="64">
        <v>204.9</v>
      </c>
      <c r="C15" s="63"/>
      <c r="D15" s="61"/>
    </row>
    <row r="16" spans="1:8">
      <c r="A16" s="60">
        <v>40897</v>
      </c>
      <c r="B16" s="64">
        <v>205.6</v>
      </c>
      <c r="C16" s="63"/>
      <c r="D16" s="61"/>
    </row>
    <row r="17" spans="1:14">
      <c r="A17" s="60">
        <v>40910</v>
      </c>
      <c r="B17" s="64">
        <v>203.7</v>
      </c>
      <c r="C17" s="63"/>
      <c r="D17" s="61"/>
      <c r="J17" t="s">
        <v>213</v>
      </c>
      <c r="M17" t="s">
        <v>214</v>
      </c>
    </row>
    <row r="18" spans="1:14">
      <c r="A18" s="60">
        <v>40926</v>
      </c>
      <c r="B18" s="64">
        <v>198</v>
      </c>
      <c r="C18" s="63"/>
      <c r="D18" s="61">
        <v>2527</v>
      </c>
      <c r="J18">
        <v>60</v>
      </c>
      <c r="K18" t="s">
        <v>208</v>
      </c>
      <c r="M18">
        <f>5*8</f>
        <v>40</v>
      </c>
      <c r="N18" t="s">
        <v>208</v>
      </c>
    </row>
    <row r="19" spans="1:14">
      <c r="J19">
        <f>6*2</f>
        <v>12</v>
      </c>
      <c r="K19" t="s">
        <v>12</v>
      </c>
      <c r="M19">
        <v>8</v>
      </c>
      <c r="N19" t="s">
        <v>12</v>
      </c>
    </row>
    <row r="20" spans="1:14">
      <c r="J20">
        <v>34.5</v>
      </c>
      <c r="K20" t="s">
        <v>93</v>
      </c>
      <c r="M20">
        <v>32</v>
      </c>
      <c r="N20" t="s">
        <v>93</v>
      </c>
    </row>
    <row r="21" spans="1:14">
      <c r="J21">
        <v>18.5</v>
      </c>
      <c r="K21" t="s">
        <v>105</v>
      </c>
      <c r="M21">
        <v>8</v>
      </c>
      <c r="N21" t="s">
        <v>105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Diet plan</vt:lpstr>
      <vt:lpstr>Progress</vt:lpstr>
      <vt:lpstr>Food costs</vt:lpstr>
      <vt:lpstr>Workout</vt:lpstr>
      <vt:lpstr>Random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Chang</dc:creator>
  <cp:lastModifiedBy>Jason Ho</cp:lastModifiedBy>
  <dcterms:created xsi:type="dcterms:W3CDTF">2011-12-12T23:56:33Z</dcterms:created>
  <dcterms:modified xsi:type="dcterms:W3CDTF">2012-02-15T04:13:54Z</dcterms:modified>
</cp:coreProperties>
</file>